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omments2.xml" ContentType="application/vnd.openxmlformats-officedocument.spreadsheetml.comment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ke\Documents\School\(not a term)\cforall\strings\perf-assessment\"/>
    </mc:Choice>
  </mc:AlternateContent>
  <xr:revisionPtr revIDLastSave="0" documentId="13_ncr:1_{67333BD8-6045-42BA-958F-03FB88F87515}" xr6:coauthVersionLast="47" xr6:coauthVersionMax="47" xr10:uidLastSave="{00000000-0000-0000-0000-000000000000}"/>
  <bookViews>
    <workbookView xWindow="-120" yWindow="-120" windowWidth="20730" windowHeight="11160" activeTab="2" xr2:uid="{AEA34404-A2CD-4E9B-A9C2-9D8AA1FE9B9E}"/>
  </bookViews>
  <sheets>
    <sheet name="import" sheetId="1" r:id="rId1"/>
    <sheet name="import-pieced" sheetId="20" r:id="rId2"/>
    <sheet name="simplified" sheetId="21" r:id="rId3"/>
    <sheet name="import-mem" sheetId="18" r:id="rId4"/>
    <sheet name="stage" sheetId="16" r:id="rId5"/>
    <sheet name="compare" sheetId="4" r:id="rId6"/>
    <sheet name="pall" sheetId="17" r:id="rId7"/>
    <sheet name="hl-ll" sheetId="13" r:id="rId8"/>
  </sheets>
  <calcPr calcId="191029"/>
  <pivotCaches>
    <pivotCache cacheId="3" r:id="rId9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37" i="21" l="1"/>
  <c r="AH33" i="21"/>
  <c r="AG33" i="21"/>
  <c r="AF33" i="21"/>
  <c r="AE33" i="21"/>
  <c r="AD33" i="21"/>
  <c r="AA33" i="21"/>
  <c r="Z33" i="21"/>
  <c r="T33" i="21"/>
  <c r="U33" i="21" s="1"/>
  <c r="L33" i="21"/>
  <c r="K33" i="21"/>
  <c r="S33" i="21" s="1"/>
  <c r="AG32" i="21"/>
  <c r="AF32" i="21"/>
  <c r="AE32" i="21"/>
  <c r="AD32" i="21"/>
  <c r="AA32" i="21"/>
  <c r="Z32" i="21"/>
  <c r="T32" i="21"/>
  <c r="U32" i="21" s="1"/>
  <c r="K32" i="21"/>
  <c r="S32" i="21" s="1"/>
  <c r="B32" i="21"/>
  <c r="AG31" i="21"/>
  <c r="AF31" i="21"/>
  <c r="AE31" i="21"/>
  <c r="AD31" i="21"/>
  <c r="AA31" i="21"/>
  <c r="Z31" i="21"/>
  <c r="T31" i="21"/>
  <c r="U31" i="21" s="1"/>
  <c r="K31" i="21"/>
  <c r="L31" i="21" s="1"/>
  <c r="B31" i="21"/>
  <c r="AG30" i="21"/>
  <c r="AF30" i="21"/>
  <c r="AE30" i="21"/>
  <c r="AD30" i="21"/>
  <c r="AA30" i="21"/>
  <c r="Z30" i="21"/>
  <c r="T30" i="21"/>
  <c r="U30" i="21" s="1"/>
  <c r="L30" i="21"/>
  <c r="K30" i="21"/>
  <c r="S30" i="21" s="1"/>
  <c r="B30" i="21"/>
  <c r="AG29" i="21"/>
  <c r="AF29" i="21"/>
  <c r="AE29" i="21"/>
  <c r="AD29" i="21"/>
  <c r="AA29" i="21"/>
  <c r="Z29" i="21"/>
  <c r="U29" i="21"/>
  <c r="T29" i="21"/>
  <c r="K29" i="21"/>
  <c r="L29" i="21" s="1"/>
  <c r="B29" i="21"/>
  <c r="AG28" i="21"/>
  <c r="AF28" i="21"/>
  <c r="AE28" i="21"/>
  <c r="AD28" i="21"/>
  <c r="AA28" i="21"/>
  <c r="Z28" i="21"/>
  <c r="V28" i="21"/>
  <c r="T28" i="21"/>
  <c r="U28" i="21" s="1"/>
  <c r="K28" i="21"/>
  <c r="S28" i="21" s="1"/>
  <c r="B28" i="21"/>
  <c r="AG27" i="21"/>
  <c r="AF27" i="21"/>
  <c r="AE27" i="21"/>
  <c r="AD27" i="21"/>
  <c r="AA27" i="21"/>
  <c r="Z27" i="21"/>
  <c r="W27" i="21"/>
  <c r="T27" i="21"/>
  <c r="U27" i="21" s="1"/>
  <c r="V27" i="21" s="1"/>
  <c r="K27" i="21"/>
  <c r="B27" i="21"/>
  <c r="AG26" i="21"/>
  <c r="AF26" i="21"/>
  <c r="AE26" i="21"/>
  <c r="AD26" i="21"/>
  <c r="AA26" i="21"/>
  <c r="Z26" i="21"/>
  <c r="T26" i="21"/>
  <c r="U26" i="21" s="1"/>
  <c r="L26" i="21"/>
  <c r="K26" i="21"/>
  <c r="S26" i="21" s="1"/>
  <c r="B26" i="21"/>
  <c r="AH25" i="21"/>
  <c r="AF25" i="21"/>
  <c r="AE25" i="21"/>
  <c r="AD25" i="21"/>
  <c r="AA25" i="21"/>
  <c r="Z25" i="21"/>
  <c r="U25" i="21"/>
  <c r="T25" i="21"/>
  <c r="K25" i="21"/>
  <c r="L25" i="21" s="1"/>
  <c r="B25" i="21"/>
  <c r="AH24" i="21"/>
  <c r="AF24" i="21"/>
  <c r="AE24" i="21"/>
  <c r="AD24" i="21"/>
  <c r="AA24" i="21"/>
  <c r="Z24" i="21"/>
  <c r="T24" i="21"/>
  <c r="U24" i="21" s="1"/>
  <c r="K24" i="21"/>
  <c r="S24" i="21" s="1"/>
  <c r="B24" i="21"/>
  <c r="AH23" i="21"/>
  <c r="AF23" i="21"/>
  <c r="AE23" i="21"/>
  <c r="AD23" i="21"/>
  <c r="AA23" i="21"/>
  <c r="Z23" i="21"/>
  <c r="T23" i="21"/>
  <c r="U23" i="21" s="1"/>
  <c r="V23" i="21" s="1"/>
  <c r="K23" i="21"/>
  <c r="B23" i="21"/>
  <c r="AH22" i="21"/>
  <c r="AF22" i="21"/>
  <c r="AE22" i="21"/>
  <c r="AD22" i="21"/>
  <c r="AA22" i="21"/>
  <c r="Z22" i="21"/>
  <c r="T22" i="21"/>
  <c r="U22" i="21" s="1"/>
  <c r="L22" i="21"/>
  <c r="K22" i="21"/>
  <c r="S22" i="21" s="1"/>
  <c r="B22" i="21"/>
  <c r="AH21" i="21"/>
  <c r="AF21" i="21"/>
  <c r="AE21" i="21"/>
  <c r="AD21" i="21"/>
  <c r="AA21" i="21"/>
  <c r="Z21" i="21"/>
  <c r="U21" i="21"/>
  <c r="T21" i="21"/>
  <c r="K21" i="21"/>
  <c r="B21" i="21"/>
  <c r="AH20" i="21"/>
  <c r="AF20" i="21"/>
  <c r="AE20" i="21"/>
  <c r="AD20" i="21"/>
  <c r="AA20" i="21"/>
  <c r="Z20" i="21"/>
  <c r="T20" i="21"/>
  <c r="U20" i="21" s="1"/>
  <c r="L20" i="21"/>
  <c r="K20" i="21"/>
  <c r="S20" i="21" s="1"/>
  <c r="B20" i="21"/>
  <c r="AH19" i="21"/>
  <c r="AG19" i="21"/>
  <c r="AE19" i="21"/>
  <c r="AD19" i="21"/>
  <c r="AA19" i="21"/>
  <c r="Z19" i="21"/>
  <c r="U19" i="21"/>
  <c r="T19" i="21"/>
  <c r="K19" i="21"/>
  <c r="B19" i="21"/>
  <c r="AH18" i="21"/>
  <c r="AG18" i="21"/>
  <c r="AE18" i="21"/>
  <c r="AD18" i="21"/>
  <c r="AA18" i="21"/>
  <c r="Z18" i="21"/>
  <c r="T18" i="21"/>
  <c r="U18" i="21" s="1"/>
  <c r="L18" i="21"/>
  <c r="M18" i="21" s="1"/>
  <c r="N18" i="21" s="1"/>
  <c r="O18" i="21" s="1"/>
  <c r="K18" i="21"/>
  <c r="S18" i="21" s="1"/>
  <c r="B18" i="21"/>
  <c r="AH17" i="21"/>
  <c r="AG17" i="21"/>
  <c r="AE17" i="21"/>
  <c r="AD17" i="21"/>
  <c r="AA17" i="21"/>
  <c r="Z17" i="21"/>
  <c r="U17" i="21"/>
  <c r="T17" i="21"/>
  <c r="K17" i="21"/>
  <c r="B17" i="21"/>
  <c r="AH16" i="21"/>
  <c r="AG16" i="21"/>
  <c r="AE16" i="21"/>
  <c r="AD16" i="21"/>
  <c r="AA16" i="21"/>
  <c r="Z16" i="21"/>
  <c r="T16" i="21"/>
  <c r="U16" i="21" s="1"/>
  <c r="V16" i="21" s="1"/>
  <c r="K16" i="21"/>
  <c r="B16" i="21"/>
  <c r="AH15" i="21"/>
  <c r="AG15" i="21"/>
  <c r="AE15" i="21"/>
  <c r="AD15" i="21"/>
  <c r="AA15" i="21"/>
  <c r="Z15" i="21"/>
  <c r="T15" i="21"/>
  <c r="U15" i="21" s="1"/>
  <c r="V15" i="21" s="1"/>
  <c r="S15" i="21"/>
  <c r="L15" i="21"/>
  <c r="M15" i="21" s="1"/>
  <c r="K15" i="21"/>
  <c r="B15" i="21"/>
  <c r="AH14" i="21"/>
  <c r="AG14" i="21"/>
  <c r="AE14" i="21"/>
  <c r="AD14" i="21"/>
  <c r="AA14" i="21"/>
  <c r="Z14" i="21"/>
  <c r="T14" i="21"/>
  <c r="U14" i="21" s="1"/>
  <c r="N14" i="21"/>
  <c r="O14" i="21" s="1"/>
  <c r="L14" i="21"/>
  <c r="M14" i="21" s="1"/>
  <c r="K14" i="21"/>
  <c r="S14" i="21" s="1"/>
  <c r="B14" i="21"/>
  <c r="AH13" i="21"/>
  <c r="AG13" i="21"/>
  <c r="AF13" i="21"/>
  <c r="AD13" i="21"/>
  <c r="AA13" i="21"/>
  <c r="Z13" i="21"/>
  <c r="U13" i="21"/>
  <c r="T13" i="21"/>
  <c r="K13" i="21"/>
  <c r="B13" i="21"/>
  <c r="AH12" i="21"/>
  <c r="AG12" i="21"/>
  <c r="AF12" i="21"/>
  <c r="AD12" i="21"/>
  <c r="AA12" i="21"/>
  <c r="Z12" i="21"/>
  <c r="T12" i="21"/>
  <c r="U12" i="21" s="1"/>
  <c r="L12" i="21"/>
  <c r="K12" i="21"/>
  <c r="S12" i="21" s="1"/>
  <c r="B12" i="21"/>
  <c r="AH11" i="21"/>
  <c r="AG11" i="21"/>
  <c r="AF11" i="21"/>
  <c r="AD11" i="21"/>
  <c r="AA11" i="21"/>
  <c r="Z11" i="21"/>
  <c r="U11" i="21"/>
  <c r="T11" i="21"/>
  <c r="K11" i="21"/>
  <c r="L11" i="21" s="1"/>
  <c r="M11" i="21" s="1"/>
  <c r="B11" i="21"/>
  <c r="AH10" i="21"/>
  <c r="AG10" i="21"/>
  <c r="AF10" i="21"/>
  <c r="AD10" i="21"/>
  <c r="AA10" i="21"/>
  <c r="Z10" i="21"/>
  <c r="T10" i="21"/>
  <c r="U10" i="21" s="1"/>
  <c r="K10" i="21"/>
  <c r="B10" i="21"/>
  <c r="AH9" i="21"/>
  <c r="AG9" i="21"/>
  <c r="AF9" i="21"/>
  <c r="AD9" i="21"/>
  <c r="AA9" i="21"/>
  <c r="Z9" i="21"/>
  <c r="T9" i="21"/>
  <c r="U9" i="21" s="1"/>
  <c r="V9" i="21" s="1"/>
  <c r="L9" i="21"/>
  <c r="K9" i="21"/>
  <c r="B9" i="21"/>
  <c r="AH8" i="21"/>
  <c r="AG8" i="21"/>
  <c r="AF8" i="21"/>
  <c r="AD8" i="21"/>
  <c r="AA8" i="21"/>
  <c r="Z8" i="21"/>
  <c r="T8" i="21"/>
  <c r="U8" i="21" s="1"/>
  <c r="L8" i="21"/>
  <c r="K8" i="21"/>
  <c r="S8" i="21" s="1"/>
  <c r="B8" i="21"/>
  <c r="AH7" i="21"/>
  <c r="AG7" i="21"/>
  <c r="AF7" i="21"/>
  <c r="AE7" i="21"/>
  <c r="AA7" i="21"/>
  <c r="Z7" i="21"/>
  <c r="U7" i="21"/>
  <c r="T7" i="21"/>
  <c r="M7" i="21"/>
  <c r="N7" i="21" s="1"/>
  <c r="O7" i="21" s="1"/>
  <c r="K7" i="21"/>
  <c r="L7" i="21" s="1"/>
  <c r="B7" i="21"/>
  <c r="AH6" i="21"/>
  <c r="AG6" i="21"/>
  <c r="AF6" i="21"/>
  <c r="AE6" i="21"/>
  <c r="AA6" i="21"/>
  <c r="Z6" i="21"/>
  <c r="T6" i="21"/>
  <c r="U6" i="21" s="1"/>
  <c r="K6" i="21"/>
  <c r="B6" i="21"/>
  <c r="AH5" i="21"/>
  <c r="AG5" i="21"/>
  <c r="AF5" i="21"/>
  <c r="AE5" i="21"/>
  <c r="AA5" i="21"/>
  <c r="Z5" i="21"/>
  <c r="U5" i="21"/>
  <c r="V5" i="21" s="1"/>
  <c r="T5" i="21"/>
  <c r="K5" i="21"/>
  <c r="B5" i="21"/>
  <c r="AH4" i="21"/>
  <c r="AG4" i="21"/>
  <c r="AF4" i="21"/>
  <c r="AE4" i="21"/>
  <c r="AA4" i="21"/>
  <c r="Z4" i="21"/>
  <c r="T4" i="21"/>
  <c r="U4" i="21" s="1"/>
  <c r="M4" i="21"/>
  <c r="N4" i="21" s="1"/>
  <c r="O4" i="21" s="1"/>
  <c r="L4" i="21"/>
  <c r="K4" i="21"/>
  <c r="S4" i="21" s="1"/>
  <c r="B4" i="21"/>
  <c r="AH3" i="21"/>
  <c r="AG3" i="21"/>
  <c r="AF3" i="21"/>
  <c r="AE3" i="21"/>
  <c r="AA3" i="21"/>
  <c r="Z3" i="21"/>
  <c r="U3" i="21"/>
  <c r="T3" i="21"/>
  <c r="K3" i="21"/>
  <c r="L3" i="21" s="1"/>
  <c r="B3" i="21"/>
  <c r="AH2" i="21"/>
  <c r="AG2" i="21"/>
  <c r="AF2" i="21"/>
  <c r="AE2" i="21"/>
  <c r="AA2" i="21"/>
  <c r="Z2" i="21"/>
  <c r="T2" i="21"/>
  <c r="U2" i="21" s="1"/>
  <c r="K2" i="21"/>
  <c r="B2" i="21"/>
  <c r="K30" i="20"/>
  <c r="L30" i="20" s="1"/>
  <c r="S30" i="20"/>
  <c r="T30" i="20"/>
  <c r="U30" i="20" s="1"/>
  <c r="V30" i="20" s="1"/>
  <c r="Z30" i="20"/>
  <c r="AA30" i="20"/>
  <c r="AD30" i="20"/>
  <c r="AE30" i="20"/>
  <c r="AF30" i="20"/>
  <c r="AG30" i="20"/>
  <c r="B30" i="20"/>
  <c r="K33" i="20"/>
  <c r="L33" i="20"/>
  <c r="T33" i="20"/>
  <c r="U33" i="20" s="1"/>
  <c r="V33" i="20" s="1"/>
  <c r="Z33" i="20"/>
  <c r="AA33" i="20"/>
  <c r="AD33" i="20"/>
  <c r="AE33" i="20"/>
  <c r="AF33" i="20"/>
  <c r="AG33" i="20"/>
  <c r="F57" i="18"/>
  <c r="F56" i="18"/>
  <c r="AA37" i="20"/>
  <c r="AG32" i="20"/>
  <c r="AF32" i="20"/>
  <c r="AE32" i="20"/>
  <c r="AD32" i="20"/>
  <c r="AA32" i="20"/>
  <c r="Z32" i="20"/>
  <c r="T32" i="20"/>
  <c r="U32" i="20" s="1"/>
  <c r="K32" i="20"/>
  <c r="S32" i="20" s="1"/>
  <c r="B32" i="20"/>
  <c r="AG31" i="20"/>
  <c r="AF31" i="20"/>
  <c r="AE31" i="20"/>
  <c r="AD31" i="20"/>
  <c r="AA31" i="20"/>
  <c r="Z31" i="20"/>
  <c r="T31" i="20"/>
  <c r="U31" i="20" s="1"/>
  <c r="K31" i="20"/>
  <c r="S31" i="20" s="1"/>
  <c r="B31" i="20"/>
  <c r="AG29" i="20"/>
  <c r="AF29" i="20"/>
  <c r="AE29" i="20"/>
  <c r="AD29" i="20"/>
  <c r="AA29" i="20"/>
  <c r="Z29" i="20"/>
  <c r="T29" i="20"/>
  <c r="U29" i="20" s="1"/>
  <c r="V29" i="20" s="1"/>
  <c r="K29" i="20"/>
  <c r="S29" i="20" s="1"/>
  <c r="B29" i="20"/>
  <c r="AG28" i="20"/>
  <c r="AF28" i="20"/>
  <c r="AE28" i="20"/>
  <c r="AD28" i="20"/>
  <c r="AA28" i="20"/>
  <c r="Z28" i="20"/>
  <c r="T28" i="20"/>
  <c r="U28" i="20" s="1"/>
  <c r="K28" i="20"/>
  <c r="S28" i="20" s="1"/>
  <c r="B28" i="20"/>
  <c r="AG27" i="20"/>
  <c r="AF27" i="20"/>
  <c r="AE27" i="20"/>
  <c r="AD27" i="20"/>
  <c r="AA27" i="20"/>
  <c r="Z27" i="20"/>
  <c r="T27" i="20"/>
  <c r="U27" i="20" s="1"/>
  <c r="K27" i="20"/>
  <c r="S27" i="20" s="1"/>
  <c r="B27" i="20"/>
  <c r="AG26" i="20"/>
  <c r="AF26" i="20"/>
  <c r="AE26" i="20"/>
  <c r="AD26" i="20"/>
  <c r="AA26" i="20"/>
  <c r="Z26" i="20"/>
  <c r="T26" i="20"/>
  <c r="U26" i="20" s="1"/>
  <c r="K26" i="20"/>
  <c r="S26" i="20" s="1"/>
  <c r="B26" i="20"/>
  <c r="AH25" i="20"/>
  <c r="AF25" i="20"/>
  <c r="AE25" i="20"/>
  <c r="AD25" i="20"/>
  <c r="AA25" i="20"/>
  <c r="Z25" i="20"/>
  <c r="T25" i="20"/>
  <c r="U25" i="20" s="1"/>
  <c r="K25" i="20"/>
  <c r="S25" i="20" s="1"/>
  <c r="B25" i="20"/>
  <c r="AH24" i="20"/>
  <c r="AF24" i="20"/>
  <c r="AE24" i="20"/>
  <c r="AD24" i="20"/>
  <c r="AA24" i="20"/>
  <c r="Z24" i="20"/>
  <c r="T24" i="20"/>
  <c r="U24" i="20" s="1"/>
  <c r="K24" i="20"/>
  <c r="S24" i="20" s="1"/>
  <c r="B24" i="20"/>
  <c r="AH23" i="20"/>
  <c r="AF23" i="20"/>
  <c r="AE23" i="20"/>
  <c r="AD23" i="20"/>
  <c r="AA23" i="20"/>
  <c r="Z23" i="20"/>
  <c r="T23" i="20"/>
  <c r="U23" i="20" s="1"/>
  <c r="K23" i="20"/>
  <c r="S23" i="20" s="1"/>
  <c r="B23" i="20"/>
  <c r="AH22" i="20"/>
  <c r="AF22" i="20"/>
  <c r="AE22" i="20"/>
  <c r="AD22" i="20"/>
  <c r="AA22" i="20"/>
  <c r="Z22" i="20"/>
  <c r="T22" i="20"/>
  <c r="U22" i="20" s="1"/>
  <c r="K22" i="20"/>
  <c r="S22" i="20" s="1"/>
  <c r="B22" i="20"/>
  <c r="AH21" i="20"/>
  <c r="AF21" i="20"/>
  <c r="AE21" i="20"/>
  <c r="AD21" i="20"/>
  <c r="AA21" i="20"/>
  <c r="Z21" i="20"/>
  <c r="T21" i="20"/>
  <c r="U21" i="20" s="1"/>
  <c r="K21" i="20"/>
  <c r="S21" i="20" s="1"/>
  <c r="B21" i="20"/>
  <c r="AH20" i="20"/>
  <c r="AF20" i="20"/>
  <c r="AE20" i="20"/>
  <c r="AD20" i="20"/>
  <c r="AA20" i="20"/>
  <c r="Z20" i="20"/>
  <c r="T20" i="20"/>
  <c r="U20" i="20" s="1"/>
  <c r="K20" i="20"/>
  <c r="B20" i="20"/>
  <c r="AH19" i="20"/>
  <c r="AG19" i="20"/>
  <c r="AE19" i="20"/>
  <c r="AD19" i="20"/>
  <c r="AA19" i="20"/>
  <c r="Z19" i="20"/>
  <c r="T19" i="20"/>
  <c r="U19" i="20" s="1"/>
  <c r="V19" i="20" s="1"/>
  <c r="K19" i="20"/>
  <c r="B19" i="20"/>
  <c r="AH18" i="20"/>
  <c r="AG18" i="20"/>
  <c r="AE18" i="20"/>
  <c r="AD18" i="20"/>
  <c r="AA18" i="20"/>
  <c r="Z18" i="20"/>
  <c r="T18" i="20"/>
  <c r="U18" i="20" s="1"/>
  <c r="K18" i="20"/>
  <c r="S18" i="20" s="1"/>
  <c r="B18" i="20"/>
  <c r="AH17" i="20"/>
  <c r="AG17" i="20"/>
  <c r="AE17" i="20"/>
  <c r="AD17" i="20"/>
  <c r="AA17" i="20"/>
  <c r="Z17" i="20"/>
  <c r="T17" i="20"/>
  <c r="U17" i="20" s="1"/>
  <c r="V17" i="20" s="1"/>
  <c r="K17" i="20"/>
  <c r="S17" i="20" s="1"/>
  <c r="B17" i="20"/>
  <c r="AH16" i="20"/>
  <c r="AG16" i="20"/>
  <c r="AE16" i="20"/>
  <c r="AD16" i="20"/>
  <c r="AA16" i="20"/>
  <c r="Z16" i="20"/>
  <c r="T16" i="20"/>
  <c r="U16" i="20" s="1"/>
  <c r="K16" i="20"/>
  <c r="S16" i="20" s="1"/>
  <c r="B16" i="20"/>
  <c r="AH15" i="20"/>
  <c r="AG15" i="20"/>
  <c r="AE15" i="20"/>
  <c r="AD15" i="20"/>
  <c r="AA15" i="20"/>
  <c r="Z15" i="20"/>
  <c r="T15" i="20"/>
  <c r="U15" i="20" s="1"/>
  <c r="V15" i="20" s="1"/>
  <c r="K15" i="20"/>
  <c r="L15" i="20" s="1"/>
  <c r="B15" i="20"/>
  <c r="AH14" i="20"/>
  <c r="AG14" i="20"/>
  <c r="AE14" i="20"/>
  <c r="AD14" i="20"/>
  <c r="AA14" i="20"/>
  <c r="Z14" i="20"/>
  <c r="T14" i="20"/>
  <c r="U14" i="20" s="1"/>
  <c r="K14" i="20"/>
  <c r="S14" i="20" s="1"/>
  <c r="B14" i="20"/>
  <c r="AH13" i="20"/>
  <c r="AG13" i="20"/>
  <c r="AF13" i="20"/>
  <c r="AD13" i="20"/>
  <c r="AA13" i="20"/>
  <c r="Z13" i="20"/>
  <c r="T13" i="20"/>
  <c r="U13" i="20" s="1"/>
  <c r="V13" i="20" s="1"/>
  <c r="K13" i="20"/>
  <c r="S13" i="20" s="1"/>
  <c r="B13" i="20"/>
  <c r="AH12" i="20"/>
  <c r="AG12" i="20"/>
  <c r="AF12" i="20"/>
  <c r="AD12" i="20"/>
  <c r="AA12" i="20"/>
  <c r="Z12" i="20"/>
  <c r="T12" i="20"/>
  <c r="U12" i="20" s="1"/>
  <c r="K12" i="20"/>
  <c r="L12" i="20" s="1"/>
  <c r="B12" i="20"/>
  <c r="AH11" i="20"/>
  <c r="AG11" i="20"/>
  <c r="AF11" i="20"/>
  <c r="AD11" i="20"/>
  <c r="AA11" i="20"/>
  <c r="Z11" i="20"/>
  <c r="T11" i="20"/>
  <c r="U11" i="20" s="1"/>
  <c r="V11" i="20" s="1"/>
  <c r="W11" i="20" s="1"/>
  <c r="K11" i="20"/>
  <c r="B11" i="20"/>
  <c r="AH10" i="20"/>
  <c r="AG10" i="20"/>
  <c r="AF10" i="20"/>
  <c r="AD10" i="20"/>
  <c r="AA10" i="20"/>
  <c r="Z10" i="20"/>
  <c r="T10" i="20"/>
  <c r="U10" i="20" s="1"/>
  <c r="V10" i="20" s="1"/>
  <c r="K10" i="20"/>
  <c r="S10" i="20" s="1"/>
  <c r="B10" i="20"/>
  <c r="AH9" i="20"/>
  <c r="AG9" i="20"/>
  <c r="AF9" i="20"/>
  <c r="AD9" i="20"/>
  <c r="AA9" i="20"/>
  <c r="Z9" i="20"/>
  <c r="T9" i="20"/>
  <c r="U9" i="20" s="1"/>
  <c r="K9" i="20"/>
  <c r="L9" i="20" s="1"/>
  <c r="B9" i="20"/>
  <c r="AH8" i="20"/>
  <c r="AG8" i="20"/>
  <c r="AF8" i="20"/>
  <c r="AD8" i="20"/>
  <c r="AA8" i="20"/>
  <c r="Z8" i="20"/>
  <c r="T8" i="20"/>
  <c r="U8" i="20" s="1"/>
  <c r="K8" i="20"/>
  <c r="S8" i="20" s="1"/>
  <c r="B8" i="20"/>
  <c r="AH7" i="20"/>
  <c r="AG7" i="20"/>
  <c r="AF7" i="20"/>
  <c r="AE7" i="20"/>
  <c r="AA7" i="20"/>
  <c r="Z7" i="20"/>
  <c r="T7" i="20"/>
  <c r="U7" i="20" s="1"/>
  <c r="K7" i="20"/>
  <c r="L7" i="20" s="1"/>
  <c r="B7" i="20"/>
  <c r="AH6" i="20"/>
  <c r="AG6" i="20"/>
  <c r="AF6" i="20"/>
  <c r="AE6" i="20"/>
  <c r="AA6" i="20"/>
  <c r="Z6" i="20"/>
  <c r="T6" i="20"/>
  <c r="U6" i="20" s="1"/>
  <c r="V6" i="20" s="1"/>
  <c r="K6" i="20"/>
  <c r="S6" i="20" s="1"/>
  <c r="B6" i="20"/>
  <c r="AH5" i="20"/>
  <c r="AG5" i="20"/>
  <c r="AF5" i="20"/>
  <c r="AE5" i="20"/>
  <c r="AA5" i="20"/>
  <c r="Z5" i="20"/>
  <c r="T5" i="20"/>
  <c r="U5" i="20" s="1"/>
  <c r="V5" i="20" s="1"/>
  <c r="W5" i="20" s="1"/>
  <c r="K5" i="20"/>
  <c r="L5" i="20" s="1"/>
  <c r="B5" i="20"/>
  <c r="AH4" i="20"/>
  <c r="AG4" i="20"/>
  <c r="AF4" i="20"/>
  <c r="AE4" i="20"/>
  <c r="AA4" i="20"/>
  <c r="Z4" i="20"/>
  <c r="T4" i="20"/>
  <c r="U4" i="20" s="1"/>
  <c r="K4" i="20"/>
  <c r="S4" i="20" s="1"/>
  <c r="B4" i="20"/>
  <c r="AH3" i="20"/>
  <c r="AG3" i="20"/>
  <c r="AF3" i="20"/>
  <c r="AE3" i="20"/>
  <c r="AA3" i="20"/>
  <c r="Z3" i="20"/>
  <c r="T3" i="20"/>
  <c r="U3" i="20" s="1"/>
  <c r="K3" i="20"/>
  <c r="B3" i="20"/>
  <c r="AH2" i="20"/>
  <c r="AG2" i="20"/>
  <c r="AF2" i="20"/>
  <c r="AE2" i="20"/>
  <c r="AA2" i="20"/>
  <c r="Z2" i="20"/>
  <c r="T2" i="20"/>
  <c r="U2" i="20" s="1"/>
  <c r="V2" i="20" s="1"/>
  <c r="K2" i="20"/>
  <c r="S2" i="20" s="1"/>
  <c r="B2" i="20"/>
  <c r="J2" i="4"/>
  <c r="J3" i="4"/>
  <c r="J4" i="4"/>
  <c r="J5" i="4"/>
  <c r="J6" i="4"/>
  <c r="J7" i="4"/>
  <c r="Q4" i="21" l="1"/>
  <c r="R4" i="21" s="1"/>
  <c r="P4" i="21"/>
  <c r="V12" i="21"/>
  <c r="W12" i="21" s="1"/>
  <c r="P7" i="21"/>
  <c r="R7" i="21"/>
  <c r="Q7" i="21"/>
  <c r="V8" i="21"/>
  <c r="W8" i="21" s="1"/>
  <c r="W14" i="21"/>
  <c r="V14" i="21"/>
  <c r="V18" i="21"/>
  <c r="W18" i="21" s="1"/>
  <c r="W2" i="21"/>
  <c r="V2" i="21"/>
  <c r="W6" i="21"/>
  <c r="R18" i="21"/>
  <c r="Q18" i="21"/>
  <c r="P18" i="21"/>
  <c r="V4" i="21"/>
  <c r="W4" i="21" s="1"/>
  <c r="S10" i="21"/>
  <c r="R14" i="21"/>
  <c r="Q14" i="21"/>
  <c r="L5" i="21"/>
  <c r="N5" i="21" s="1"/>
  <c r="O5" i="21" s="1"/>
  <c r="W5" i="21"/>
  <c r="V6" i="21"/>
  <c r="W9" i="21"/>
  <c r="L23" i="21"/>
  <c r="N23" i="21" s="1"/>
  <c r="O23" i="21" s="1"/>
  <c r="M23" i="21"/>
  <c r="S23" i="21"/>
  <c r="V24" i="21"/>
  <c r="W24" i="21" s="1"/>
  <c r="M25" i="21"/>
  <c r="N25" i="21" s="1"/>
  <c r="O25" i="21" s="1"/>
  <c r="M5" i="21"/>
  <c r="S5" i="21"/>
  <c r="V7" i="21"/>
  <c r="W7" i="21" s="1"/>
  <c r="N8" i="21"/>
  <c r="O8" i="21" s="1"/>
  <c r="V10" i="21"/>
  <c r="W10" i="21" s="1"/>
  <c r="N11" i="21"/>
  <c r="O11" i="21" s="1"/>
  <c r="N12" i="21"/>
  <c r="O12" i="21" s="1"/>
  <c r="M16" i="21"/>
  <c r="S16" i="21"/>
  <c r="L16" i="21"/>
  <c r="N16" i="21" s="1"/>
  <c r="O16" i="21" s="1"/>
  <c r="V20" i="21"/>
  <c r="W20" i="21" s="1"/>
  <c r="M26" i="21"/>
  <c r="N26" i="21"/>
  <c r="O26" i="21" s="1"/>
  <c r="X27" i="21"/>
  <c r="AB27" i="21" s="1"/>
  <c r="AC27" i="21" s="1"/>
  <c r="AH27" i="21" s="1"/>
  <c r="L10" i="21"/>
  <c r="V21" i="21"/>
  <c r="W21" i="21" s="1"/>
  <c r="L27" i="21"/>
  <c r="M27" i="21" s="1"/>
  <c r="N27" i="21" s="1"/>
  <c r="O27" i="21" s="1"/>
  <c r="S27" i="21"/>
  <c r="V13" i="21"/>
  <c r="W13" i="21" s="1"/>
  <c r="P14" i="21"/>
  <c r="W16" i="21"/>
  <c r="L2" i="21"/>
  <c r="M2" i="21" s="1"/>
  <c r="M3" i="21"/>
  <c r="V3" i="21"/>
  <c r="W3" i="21" s="1"/>
  <c r="S2" i="21"/>
  <c r="N3" i="21"/>
  <c r="O3" i="21" s="1"/>
  <c r="S3" i="21"/>
  <c r="L6" i="21"/>
  <c r="S6" i="21"/>
  <c r="M8" i="21"/>
  <c r="M9" i="21"/>
  <c r="N9" i="21" s="1"/>
  <c r="O9" i="21" s="1"/>
  <c r="S9" i="21"/>
  <c r="V11" i="21"/>
  <c r="W11" i="21" s="1"/>
  <c r="M12" i="21"/>
  <c r="L13" i="21"/>
  <c r="M13" i="21" s="1"/>
  <c r="S13" i="21"/>
  <c r="W15" i="21"/>
  <c r="L17" i="21"/>
  <c r="S17" i="21"/>
  <c r="V17" i="21"/>
  <c r="W17" i="21" s="1"/>
  <c r="V19" i="21"/>
  <c r="W19" i="21" s="1"/>
  <c r="M22" i="21"/>
  <c r="N22" i="21"/>
  <c r="O22" i="21" s="1"/>
  <c r="W23" i="21"/>
  <c r="V25" i="21"/>
  <c r="W25" i="21"/>
  <c r="M30" i="21"/>
  <c r="N30" i="21" s="1"/>
  <c r="O30" i="21" s="1"/>
  <c r="S7" i="21"/>
  <c r="S11" i="21"/>
  <c r="N29" i="21"/>
  <c r="O29" i="21" s="1"/>
  <c r="V29" i="21"/>
  <c r="W29" i="21" s="1"/>
  <c r="V31" i="21"/>
  <c r="W31" i="21" s="1"/>
  <c r="N15" i="21"/>
  <c r="O15" i="21" s="1"/>
  <c r="L19" i="21"/>
  <c r="M19" i="21" s="1"/>
  <c r="N19" i="21"/>
  <c r="O19" i="21" s="1"/>
  <c r="S19" i="21"/>
  <c r="W22" i="21"/>
  <c r="V22" i="21"/>
  <c r="V26" i="21"/>
  <c r="W26" i="21" s="1"/>
  <c r="M29" i="21"/>
  <c r="V30" i="21"/>
  <c r="W30" i="21" s="1"/>
  <c r="W32" i="21"/>
  <c r="V32" i="21"/>
  <c r="W28" i="21"/>
  <c r="V33" i="21"/>
  <c r="W33" i="21" s="1"/>
  <c r="S21" i="21"/>
  <c r="L24" i="21"/>
  <c r="S25" i="21"/>
  <c r="L28" i="21"/>
  <c r="S29" i="21"/>
  <c r="M31" i="21"/>
  <c r="L32" i="21"/>
  <c r="M32" i="21" s="1"/>
  <c r="N32" i="21" s="1"/>
  <c r="O32" i="21" s="1"/>
  <c r="M20" i="21"/>
  <c r="N20" i="21" s="1"/>
  <c r="O20" i="21" s="1"/>
  <c r="L21" i="21"/>
  <c r="M21" i="21" s="1"/>
  <c r="M24" i="21"/>
  <c r="N31" i="21"/>
  <c r="O31" i="21" s="1"/>
  <c r="M33" i="21"/>
  <c r="S31" i="21"/>
  <c r="N33" i="21"/>
  <c r="O33" i="21" s="1"/>
  <c r="M30" i="20"/>
  <c r="N30" i="20" s="1"/>
  <c r="O30" i="20" s="1"/>
  <c r="N33" i="20"/>
  <c r="O33" i="20" s="1"/>
  <c r="P33" i="20" s="1"/>
  <c r="S33" i="20"/>
  <c r="W30" i="20"/>
  <c r="M33" i="20"/>
  <c r="R33" i="20"/>
  <c r="L18" i="20"/>
  <c r="M18" i="20" s="1"/>
  <c r="W33" i="20"/>
  <c r="L2" i="20"/>
  <c r="M9" i="20"/>
  <c r="N9" i="20" s="1"/>
  <c r="O9" i="20" s="1"/>
  <c r="S9" i="20"/>
  <c r="L25" i="20"/>
  <c r="M25" i="20" s="1"/>
  <c r="N25" i="20" s="1"/>
  <c r="O25" i="20" s="1"/>
  <c r="L6" i="20"/>
  <c r="V28" i="20"/>
  <c r="W28" i="20" s="1"/>
  <c r="V21" i="20"/>
  <c r="W21" i="20" s="1"/>
  <c r="X21" i="20" s="1"/>
  <c r="AB21" i="20" s="1"/>
  <c r="V24" i="20"/>
  <c r="W24" i="20" s="1"/>
  <c r="X24" i="20" s="1"/>
  <c r="AB24" i="20" s="1"/>
  <c r="S5" i="20"/>
  <c r="L10" i="20"/>
  <c r="M10" i="20" s="1"/>
  <c r="N10" i="20" s="1"/>
  <c r="O10" i="20" s="1"/>
  <c r="L13" i="20"/>
  <c r="M13" i="20" s="1"/>
  <c r="L17" i="20"/>
  <c r="M17" i="20" s="1"/>
  <c r="N17" i="20" s="1"/>
  <c r="O17" i="20" s="1"/>
  <c r="L21" i="20"/>
  <c r="L31" i="20"/>
  <c r="M31" i="20" s="1"/>
  <c r="L32" i="20"/>
  <c r="V9" i="20"/>
  <c r="W9" i="20" s="1"/>
  <c r="X9" i="20" s="1"/>
  <c r="AB9" i="20" s="1"/>
  <c r="W15" i="20"/>
  <c r="V16" i="20"/>
  <c r="W16" i="20" s="1"/>
  <c r="X16" i="20" s="1"/>
  <c r="AB16" i="20" s="1"/>
  <c r="V20" i="20"/>
  <c r="W20" i="20" s="1"/>
  <c r="L22" i="20"/>
  <c r="M22" i="20" s="1"/>
  <c r="N22" i="20" s="1"/>
  <c r="O22" i="20" s="1"/>
  <c r="L23" i="20"/>
  <c r="M23" i="20" s="1"/>
  <c r="N23" i="20" s="1"/>
  <c r="O23" i="20" s="1"/>
  <c r="V25" i="20"/>
  <c r="W25" i="20" s="1"/>
  <c r="L29" i="20"/>
  <c r="L26" i="20"/>
  <c r="M26" i="20" s="1"/>
  <c r="N26" i="20" s="1"/>
  <c r="O26" i="20" s="1"/>
  <c r="L27" i="20"/>
  <c r="M27" i="20" s="1"/>
  <c r="N27" i="20" s="1"/>
  <c r="O27" i="20" s="1"/>
  <c r="X5" i="20"/>
  <c r="AB5" i="20" s="1"/>
  <c r="S11" i="20"/>
  <c r="L11" i="20"/>
  <c r="M11" i="20" s="1"/>
  <c r="N11" i="20" s="1"/>
  <c r="O11" i="20" s="1"/>
  <c r="M2" i="20"/>
  <c r="N2" i="20" s="1"/>
  <c r="O2" i="20" s="1"/>
  <c r="M6" i="20"/>
  <c r="N6" i="20" s="1"/>
  <c r="O6" i="20" s="1"/>
  <c r="W13" i="20"/>
  <c r="V7" i="20"/>
  <c r="W7" i="20" s="1"/>
  <c r="P9" i="20"/>
  <c r="Q9" i="20"/>
  <c r="R9" i="20" s="1"/>
  <c r="W2" i="20"/>
  <c r="X11" i="20"/>
  <c r="AB11" i="20" s="1"/>
  <c r="V23" i="20"/>
  <c r="W23" i="20" s="1"/>
  <c r="V3" i="20"/>
  <c r="W3" i="20" s="1"/>
  <c r="W6" i="20"/>
  <c r="W10" i="20"/>
  <c r="V4" i="20"/>
  <c r="W4" i="20" s="1"/>
  <c r="V8" i="20"/>
  <c r="W8" i="20" s="1"/>
  <c r="V12" i="20"/>
  <c r="W12" i="20" s="1"/>
  <c r="L14" i="20"/>
  <c r="M14" i="20" s="1"/>
  <c r="N14" i="20" s="1"/>
  <c r="O14" i="20" s="1"/>
  <c r="V14" i="20"/>
  <c r="W14" i="20" s="1"/>
  <c r="L16" i="20"/>
  <c r="M16" i="20" s="1"/>
  <c r="V18" i="20"/>
  <c r="W18" i="20" s="1"/>
  <c r="L19" i="20"/>
  <c r="M19" i="20" s="1"/>
  <c r="N19" i="20" s="1"/>
  <c r="O19" i="20" s="1"/>
  <c r="V27" i="20"/>
  <c r="W27" i="20" s="1"/>
  <c r="L3" i="20"/>
  <c r="M3" i="20" s="1"/>
  <c r="N3" i="20" s="1"/>
  <c r="O3" i="20" s="1"/>
  <c r="S3" i="20"/>
  <c r="L4" i="20"/>
  <c r="M4" i="20" s="1"/>
  <c r="M5" i="20"/>
  <c r="N5" i="20" s="1"/>
  <c r="O5" i="20" s="1"/>
  <c r="M7" i="20"/>
  <c r="N7" i="20" s="1"/>
  <c r="O7" i="20" s="1"/>
  <c r="S7" i="20"/>
  <c r="L8" i="20"/>
  <c r="M12" i="20"/>
  <c r="N12" i="20" s="1"/>
  <c r="O12" i="20" s="1"/>
  <c r="S12" i="20"/>
  <c r="S19" i="20"/>
  <c r="L20" i="20"/>
  <c r="S20" i="20"/>
  <c r="V22" i="20"/>
  <c r="W22" i="20" s="1"/>
  <c r="L24" i="20"/>
  <c r="V31" i="20"/>
  <c r="W31" i="20" s="1"/>
  <c r="M15" i="20"/>
  <c r="N15" i="20" s="1"/>
  <c r="O15" i="20" s="1"/>
  <c r="S15" i="20"/>
  <c r="W17" i="20"/>
  <c r="W19" i="20"/>
  <c r="L28" i="20"/>
  <c r="M28" i="20" s="1"/>
  <c r="W29" i="20"/>
  <c r="V32" i="20"/>
  <c r="W32" i="20" s="1"/>
  <c r="V26" i="20"/>
  <c r="W26" i="20" s="1"/>
  <c r="M32" i="20"/>
  <c r="N32" i="20" s="1"/>
  <c r="O32" i="20" s="1"/>
  <c r="X26" i="21" l="1"/>
  <c r="AB26" i="21" s="1"/>
  <c r="AC26" i="21" s="1"/>
  <c r="AH26" i="21" s="1"/>
  <c r="Q30" i="21"/>
  <c r="R30" i="21"/>
  <c r="P30" i="21"/>
  <c r="Q16" i="21"/>
  <c r="R16" i="21" s="1"/>
  <c r="P16" i="21"/>
  <c r="X8" i="21"/>
  <c r="AB8" i="21" s="1"/>
  <c r="AC8" i="21" s="1"/>
  <c r="AE8" i="21" s="1"/>
  <c r="X12" i="21"/>
  <c r="AB12" i="21" s="1"/>
  <c r="AC12" i="21" s="1"/>
  <c r="AE12" i="21" s="1"/>
  <c r="X33" i="21"/>
  <c r="AB33" i="21" s="1"/>
  <c r="AC33" i="21" s="1"/>
  <c r="X30" i="21"/>
  <c r="AB30" i="21" s="1"/>
  <c r="AC30" i="21" s="1"/>
  <c r="AH30" i="21" s="1"/>
  <c r="X19" i="21"/>
  <c r="AB19" i="21" s="1"/>
  <c r="AC19" i="21" s="1"/>
  <c r="AF19" i="21" s="1"/>
  <c r="Y19" i="21"/>
  <c r="X11" i="21"/>
  <c r="AB11" i="21" s="1"/>
  <c r="AC11" i="21" s="1"/>
  <c r="AE11" i="21" s="1"/>
  <c r="Y11" i="21"/>
  <c r="P27" i="21"/>
  <c r="R27" i="21"/>
  <c r="Q27" i="21"/>
  <c r="X10" i="21"/>
  <c r="AB10" i="21" s="1"/>
  <c r="AC10" i="21" s="1"/>
  <c r="AE10" i="21" s="1"/>
  <c r="X18" i="21"/>
  <c r="AB18" i="21" s="1"/>
  <c r="AC18" i="21" s="1"/>
  <c r="AF18" i="21" s="1"/>
  <c r="X29" i="21"/>
  <c r="AB29" i="21" s="1"/>
  <c r="AC29" i="21" s="1"/>
  <c r="AH29" i="21" s="1"/>
  <c r="Y29" i="21"/>
  <c r="R9" i="21"/>
  <c r="Q9" i="21"/>
  <c r="P9" i="21"/>
  <c r="X13" i="21"/>
  <c r="AB13" i="21" s="1"/>
  <c r="AC13" i="21" s="1"/>
  <c r="AE13" i="21" s="1"/>
  <c r="Y13" i="21"/>
  <c r="X20" i="21"/>
  <c r="AB20" i="21" s="1"/>
  <c r="AC20" i="21" s="1"/>
  <c r="AG20" i="21" s="1"/>
  <c r="X7" i="21"/>
  <c r="AB7" i="21" s="1"/>
  <c r="AC7" i="21" s="1"/>
  <c r="AD7" i="21" s="1"/>
  <c r="Y7" i="21"/>
  <c r="X24" i="21"/>
  <c r="AB24" i="21" s="1"/>
  <c r="AC24" i="21" s="1"/>
  <c r="AG24" i="21" s="1"/>
  <c r="Q32" i="21"/>
  <c r="R32" i="21" s="1"/>
  <c r="P32" i="21"/>
  <c r="X31" i="21"/>
  <c r="AB31" i="21" s="1"/>
  <c r="AC31" i="21" s="1"/>
  <c r="AH31" i="21" s="1"/>
  <c r="Y31" i="21"/>
  <c r="X17" i="21"/>
  <c r="AB17" i="21" s="1"/>
  <c r="AC17" i="21" s="1"/>
  <c r="AF17" i="21" s="1"/>
  <c r="X3" i="21"/>
  <c r="AB3" i="21" s="1"/>
  <c r="AC3" i="21" s="1"/>
  <c r="AD3" i="21" s="1"/>
  <c r="Y3" i="21"/>
  <c r="X21" i="21"/>
  <c r="AB21" i="21" s="1"/>
  <c r="AC21" i="21" s="1"/>
  <c r="AG21" i="21" s="1"/>
  <c r="P25" i="21"/>
  <c r="Q25" i="21"/>
  <c r="R25" i="21" s="1"/>
  <c r="P23" i="21"/>
  <c r="Q23" i="21"/>
  <c r="R23" i="21" s="1"/>
  <c r="R5" i="21"/>
  <c r="Q5" i="21"/>
  <c r="P5" i="21"/>
  <c r="X4" i="21"/>
  <c r="AB4" i="21" s="1"/>
  <c r="AC4" i="21" s="1"/>
  <c r="AD4" i="21" s="1"/>
  <c r="Q20" i="21"/>
  <c r="P20" i="21"/>
  <c r="R20" i="21"/>
  <c r="Y5" i="21"/>
  <c r="X5" i="21"/>
  <c r="AB5" i="21" s="1"/>
  <c r="AC5" i="21" s="1"/>
  <c r="AD5" i="21" s="1"/>
  <c r="X2" i="21"/>
  <c r="AB2" i="21" s="1"/>
  <c r="AC2" i="21" s="1"/>
  <c r="AD2" i="21" s="1"/>
  <c r="X14" i="21"/>
  <c r="AB14" i="21" s="1"/>
  <c r="AC14" i="21" s="1"/>
  <c r="AF14" i="21" s="1"/>
  <c r="Q26" i="21"/>
  <c r="R26" i="21"/>
  <c r="P26" i="21"/>
  <c r="Q12" i="21"/>
  <c r="R12" i="21" s="1"/>
  <c r="P12" i="21"/>
  <c r="P8" i="21"/>
  <c r="Q8" i="21"/>
  <c r="R8" i="21" s="1"/>
  <c r="Y9" i="21"/>
  <c r="X9" i="21"/>
  <c r="AB9" i="21" s="1"/>
  <c r="AC9" i="21" s="1"/>
  <c r="AE9" i="21" s="1"/>
  <c r="X6" i="21"/>
  <c r="AB6" i="21" s="1"/>
  <c r="AC6" i="21" s="1"/>
  <c r="AD6" i="21" s="1"/>
  <c r="N24" i="21"/>
  <c r="O24" i="21" s="1"/>
  <c r="X28" i="21"/>
  <c r="AB28" i="21" s="1"/>
  <c r="AC28" i="21" s="1"/>
  <c r="AH28" i="21" s="1"/>
  <c r="M17" i="21"/>
  <c r="N17" i="21" s="1"/>
  <c r="O17" i="21" s="1"/>
  <c r="Y15" i="21"/>
  <c r="X15" i="21"/>
  <c r="AB15" i="21" s="1"/>
  <c r="AC15" i="21" s="1"/>
  <c r="AF15" i="21" s="1"/>
  <c r="M6" i="21"/>
  <c r="N6" i="21" s="1"/>
  <c r="O6" i="21" s="1"/>
  <c r="N2" i="21"/>
  <c r="O2" i="21" s="1"/>
  <c r="Y16" i="21"/>
  <c r="X16" i="21"/>
  <c r="AB16" i="21" s="1"/>
  <c r="AC16" i="21" s="1"/>
  <c r="AF16" i="21" s="1"/>
  <c r="M10" i="21"/>
  <c r="N10" i="21" s="1"/>
  <c r="O10" i="21" s="1"/>
  <c r="P31" i="21"/>
  <c r="R31" i="21"/>
  <c r="Q31" i="21"/>
  <c r="X32" i="21"/>
  <c r="AB32" i="21" s="1"/>
  <c r="AC32" i="21" s="1"/>
  <c r="AH32" i="21" s="1"/>
  <c r="P29" i="21"/>
  <c r="Q29" i="21"/>
  <c r="R29" i="21" s="1"/>
  <c r="Q22" i="21"/>
  <c r="R22" i="21" s="1"/>
  <c r="P22" i="21"/>
  <c r="P3" i="21"/>
  <c r="R3" i="21"/>
  <c r="Q3" i="21"/>
  <c r="M28" i="21"/>
  <c r="N28" i="21" s="1"/>
  <c r="O28" i="21" s="1"/>
  <c r="P19" i="21"/>
  <c r="R19" i="21"/>
  <c r="Q19" i="21"/>
  <c r="X25" i="21"/>
  <c r="AB25" i="21" s="1"/>
  <c r="AC25" i="21" s="1"/>
  <c r="AG25" i="21" s="1"/>
  <c r="Y25" i="21"/>
  <c r="R33" i="21"/>
  <c r="Q33" i="21"/>
  <c r="P33" i="21"/>
  <c r="X22" i="21"/>
  <c r="AB22" i="21" s="1"/>
  <c r="AC22" i="21" s="1"/>
  <c r="AG22" i="21" s="1"/>
  <c r="P15" i="21"/>
  <c r="Q15" i="21"/>
  <c r="R15" i="21" s="1"/>
  <c r="X23" i="21"/>
  <c r="AB23" i="21" s="1"/>
  <c r="AC23" i="21" s="1"/>
  <c r="AG23" i="21" s="1"/>
  <c r="N13" i="21"/>
  <c r="O13" i="21" s="1"/>
  <c r="Y27" i="21"/>
  <c r="N21" i="21"/>
  <c r="O21" i="21" s="1"/>
  <c r="P11" i="21"/>
  <c r="Q11" i="21"/>
  <c r="R11" i="21"/>
  <c r="P30" i="20"/>
  <c r="R30" i="20"/>
  <c r="Q30" i="20"/>
  <c r="Q33" i="20"/>
  <c r="X30" i="20"/>
  <c r="AB30" i="20" s="1"/>
  <c r="AC30" i="20" s="1"/>
  <c r="AH30" i="20" s="1"/>
  <c r="N18" i="20"/>
  <c r="O18" i="20" s="1"/>
  <c r="Q18" i="20" s="1"/>
  <c r="R18" i="20" s="1"/>
  <c r="X33" i="20"/>
  <c r="AB33" i="20" s="1"/>
  <c r="AC33" i="20" s="1"/>
  <c r="AH33" i="20" s="1"/>
  <c r="N13" i="20"/>
  <c r="O13" i="20" s="1"/>
  <c r="P13" i="20" s="1"/>
  <c r="N31" i="20"/>
  <c r="O31" i="20" s="1"/>
  <c r="Q31" i="20" s="1"/>
  <c r="R31" i="20" s="1"/>
  <c r="N28" i="20"/>
  <c r="O28" i="20" s="1"/>
  <c r="P28" i="20" s="1"/>
  <c r="X15" i="20"/>
  <c r="AB15" i="20" s="1"/>
  <c r="M29" i="20"/>
  <c r="N29" i="20" s="1"/>
  <c r="O29" i="20" s="1"/>
  <c r="X25" i="20"/>
  <c r="AB25" i="20" s="1"/>
  <c r="X20" i="20"/>
  <c r="AB20" i="20" s="1"/>
  <c r="Q25" i="20"/>
  <c r="R25" i="20" s="1"/>
  <c r="P25" i="20"/>
  <c r="X28" i="20"/>
  <c r="AB28" i="20" s="1"/>
  <c r="Y21" i="20"/>
  <c r="M21" i="20"/>
  <c r="N21" i="20" s="1"/>
  <c r="O21" i="20" s="1"/>
  <c r="P17" i="20"/>
  <c r="Q17" i="20"/>
  <c r="R17" i="20" s="1"/>
  <c r="X26" i="20"/>
  <c r="AB26" i="20" s="1"/>
  <c r="X23" i="20"/>
  <c r="AB23" i="20" s="1"/>
  <c r="P10" i="20"/>
  <c r="Q10" i="20"/>
  <c r="R10" i="20" s="1"/>
  <c r="Q11" i="20"/>
  <c r="R11" i="20" s="1"/>
  <c r="P11" i="20"/>
  <c r="X31" i="20"/>
  <c r="AB31" i="20" s="1"/>
  <c r="Q3" i="20"/>
  <c r="R3" i="20" s="1"/>
  <c r="P3" i="20"/>
  <c r="Q19" i="20"/>
  <c r="R19" i="20" s="1"/>
  <c r="P19" i="20"/>
  <c r="X18" i="20"/>
  <c r="AB18" i="20" s="1"/>
  <c r="X4" i="20"/>
  <c r="AB4" i="20" s="1"/>
  <c r="Q23" i="20"/>
  <c r="R23" i="20" s="1"/>
  <c r="P23" i="20"/>
  <c r="X3" i="20"/>
  <c r="AB3" i="20" s="1"/>
  <c r="P2" i="20"/>
  <c r="Q2" i="20"/>
  <c r="R2" i="20" s="1"/>
  <c r="X14" i="20"/>
  <c r="AB14" i="20" s="1"/>
  <c r="Q32" i="20"/>
  <c r="R32" i="20" s="1"/>
  <c r="P32" i="20"/>
  <c r="X22" i="20"/>
  <c r="AB22" i="20" s="1"/>
  <c r="Q13" i="20"/>
  <c r="R13" i="20" s="1"/>
  <c r="X27" i="20"/>
  <c r="AB27" i="20" s="1"/>
  <c r="Q14" i="20"/>
  <c r="R14" i="20" s="1"/>
  <c r="P14" i="20"/>
  <c r="X2" i="20"/>
  <c r="AB2" i="20" s="1"/>
  <c r="X7" i="20"/>
  <c r="AB7" i="20" s="1"/>
  <c r="P6" i="20"/>
  <c r="Q6" i="20"/>
  <c r="R6" i="20" s="1"/>
  <c r="Q27" i="20"/>
  <c r="R27" i="20" s="1"/>
  <c r="P27" i="20"/>
  <c r="M24" i="20"/>
  <c r="N24" i="20" s="1"/>
  <c r="O24" i="20" s="1"/>
  <c r="M20" i="20"/>
  <c r="N20" i="20" s="1"/>
  <c r="O20" i="20" s="1"/>
  <c r="Y24" i="20"/>
  <c r="X8" i="20"/>
  <c r="AB8" i="20" s="1"/>
  <c r="Y16" i="20"/>
  <c r="P22" i="20"/>
  <c r="Q22" i="20"/>
  <c r="R22" i="20" s="1"/>
  <c r="X17" i="20"/>
  <c r="AB17" i="20" s="1"/>
  <c r="P7" i="20"/>
  <c r="Q7" i="20"/>
  <c r="R7" i="20" s="1"/>
  <c r="P26" i="20"/>
  <c r="Q26" i="20"/>
  <c r="R26" i="20" s="1"/>
  <c r="P12" i="20"/>
  <c r="Q12" i="20"/>
  <c r="R12" i="20" s="1"/>
  <c r="P5" i="20"/>
  <c r="Q5" i="20"/>
  <c r="R5" i="20" s="1"/>
  <c r="X10" i="20"/>
  <c r="AB10" i="20" s="1"/>
  <c r="X6" i="20"/>
  <c r="AB6" i="20" s="1"/>
  <c r="Y11" i="20"/>
  <c r="X13" i="20"/>
  <c r="AB13" i="20" s="1"/>
  <c r="Y5" i="20"/>
  <c r="X29" i="20"/>
  <c r="AB29" i="20" s="1"/>
  <c r="X32" i="20"/>
  <c r="AB32" i="20" s="1"/>
  <c r="Q28" i="20"/>
  <c r="R28" i="20" s="1"/>
  <c r="X19" i="20"/>
  <c r="AB19" i="20" s="1"/>
  <c r="Q15" i="20"/>
  <c r="R15" i="20" s="1"/>
  <c r="P15" i="20"/>
  <c r="N4" i="20"/>
  <c r="O4" i="20" s="1"/>
  <c r="N16" i="20"/>
  <c r="O16" i="20" s="1"/>
  <c r="M8" i="20"/>
  <c r="N8" i="20" s="1"/>
  <c r="O8" i="20" s="1"/>
  <c r="Y9" i="20"/>
  <c r="X12" i="20"/>
  <c r="AB12" i="20" s="1"/>
  <c r="P17" i="21" l="1"/>
  <c r="Q17" i="21"/>
  <c r="R17" i="21" s="1"/>
  <c r="Q28" i="21"/>
  <c r="R28" i="21" s="1"/>
  <c r="P28" i="21"/>
  <c r="Q10" i="21"/>
  <c r="R10" i="21" s="1"/>
  <c r="P10" i="21"/>
  <c r="Q6" i="21"/>
  <c r="R6" i="21" s="1"/>
  <c r="P6" i="21"/>
  <c r="Y32" i="21"/>
  <c r="Q2" i="21"/>
  <c r="R2" i="21" s="1"/>
  <c r="P2" i="21"/>
  <c r="P13" i="21"/>
  <c r="Q13" i="21"/>
  <c r="R13" i="21" s="1"/>
  <c r="Y2" i="21"/>
  <c r="Y10" i="21"/>
  <c r="P21" i="21"/>
  <c r="Q21" i="21"/>
  <c r="R21" i="21" s="1"/>
  <c r="Q24" i="21"/>
  <c r="P24" i="21"/>
  <c r="R24" i="21"/>
  <c r="Y22" i="21"/>
  <c r="Y4" i="21"/>
  <c r="Y33" i="21"/>
  <c r="Y8" i="21"/>
  <c r="Y6" i="21"/>
  <c r="Y23" i="21"/>
  <c r="Y28" i="21"/>
  <c r="Y14" i="21"/>
  <c r="Y21" i="21"/>
  <c r="Y17" i="21"/>
  <c r="Y24" i="21"/>
  <c r="Y20" i="21"/>
  <c r="Y18" i="21"/>
  <c r="Y30" i="21"/>
  <c r="Y12" i="21"/>
  <c r="Y26" i="21"/>
  <c r="Y30" i="20"/>
  <c r="P31" i="20"/>
  <c r="Y33" i="20"/>
  <c r="P18" i="20"/>
  <c r="Y22" i="20"/>
  <c r="P29" i="20"/>
  <c r="Q29" i="20"/>
  <c r="R29" i="20" s="1"/>
  <c r="Y3" i="20"/>
  <c r="Y15" i="20"/>
  <c r="Q21" i="20"/>
  <c r="R21" i="20" s="1"/>
  <c r="P21" i="20"/>
  <c r="Y19" i="20"/>
  <c r="Y32" i="20"/>
  <c r="Y8" i="20"/>
  <c r="Y7" i="20"/>
  <c r="Y4" i="20"/>
  <c r="Y31" i="20"/>
  <c r="Y28" i="20"/>
  <c r="Y25" i="20"/>
  <c r="Y2" i="20"/>
  <c r="Y20" i="20"/>
  <c r="Q8" i="20"/>
  <c r="R8" i="20" s="1"/>
  <c r="P8" i="20"/>
  <c r="Q20" i="20"/>
  <c r="R20" i="20" s="1"/>
  <c r="P20" i="20"/>
  <c r="Q24" i="20"/>
  <c r="R24" i="20" s="1"/>
  <c r="P24" i="20"/>
  <c r="Y29" i="20"/>
  <c r="Y6" i="20"/>
  <c r="Y17" i="20"/>
  <c r="Y27" i="20"/>
  <c r="Y18" i="20"/>
  <c r="Y23" i="20"/>
  <c r="Y13" i="20"/>
  <c r="Y14" i="20"/>
  <c r="Y26" i="20"/>
  <c r="Q4" i="20"/>
  <c r="R4" i="20"/>
  <c r="P4" i="20"/>
  <c r="Y12" i="20"/>
  <c r="Q16" i="20"/>
  <c r="R16" i="20" s="1"/>
  <c r="P16" i="20"/>
  <c r="Y10" i="20"/>
  <c r="AH2" i="1" l="1"/>
  <c r="AH3" i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G2" i="1"/>
  <c r="AG3" i="1"/>
  <c r="AG4" i="1"/>
  <c r="AG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6" i="1"/>
  <c r="AG27" i="1"/>
  <c r="AG28" i="1"/>
  <c r="AG29" i="1"/>
  <c r="AG30" i="1"/>
  <c r="AG31" i="1"/>
  <c r="AF2" i="1"/>
  <c r="AF3" i="1"/>
  <c r="AF4" i="1"/>
  <c r="AF5" i="1"/>
  <c r="AF6" i="1"/>
  <c r="AF7" i="1"/>
  <c r="AF8" i="1"/>
  <c r="AF9" i="1"/>
  <c r="AF10" i="1"/>
  <c r="AF11" i="1"/>
  <c r="AF12" i="1"/>
  <c r="AF13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E2" i="1"/>
  <c r="AE3" i="1"/>
  <c r="AE4" i="1"/>
  <c r="AE5" i="1"/>
  <c r="AE6" i="1"/>
  <c r="AE7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A36" i="1"/>
  <c r="F2" i="18"/>
  <c r="F3" i="18"/>
  <c r="F4" i="18"/>
  <c r="F5" i="18"/>
  <c r="F6" i="18"/>
  <c r="F7" i="18"/>
  <c r="F8" i="18"/>
  <c r="F9" i="18"/>
  <c r="F10" i="18"/>
  <c r="F11" i="18"/>
  <c r="F12" i="18"/>
  <c r="F13" i="18"/>
  <c r="F14" i="18"/>
  <c r="F15" i="18"/>
  <c r="F16" i="18"/>
  <c r="F17" i="18"/>
  <c r="F18" i="18"/>
  <c r="F19" i="18"/>
  <c r="F20" i="18"/>
  <c r="F21" i="18"/>
  <c r="F22" i="18"/>
  <c r="F23" i="18"/>
  <c r="F24" i="18"/>
  <c r="F25" i="18"/>
  <c r="F26" i="18"/>
  <c r="F27" i="18"/>
  <c r="F28" i="18"/>
  <c r="F29" i="18"/>
  <c r="F30" i="18"/>
  <c r="F31" i="18"/>
  <c r="F32" i="18"/>
  <c r="F33" i="18"/>
  <c r="F34" i="18"/>
  <c r="F35" i="18"/>
  <c r="F36" i="18"/>
  <c r="F37" i="18"/>
  <c r="F38" i="18"/>
  <c r="F39" i="18"/>
  <c r="F40" i="18"/>
  <c r="F41" i="18"/>
  <c r="F42" i="18"/>
  <c r="F43" i="18"/>
  <c r="F44" i="18"/>
  <c r="F45" i="18"/>
  <c r="F46" i="18"/>
  <c r="F47" i="18"/>
  <c r="F48" i="18"/>
  <c r="F49" i="18"/>
  <c r="F50" i="18"/>
  <c r="F51" i="18"/>
  <c r="F52" i="18"/>
  <c r="F53" i="18"/>
  <c r="F54" i="18"/>
  <c r="F55" i="18"/>
  <c r="B8" i="1"/>
  <c r="B9" i="1"/>
  <c r="B10" i="1"/>
  <c r="B11" i="1"/>
  <c r="B12" i="1"/>
  <c r="B13" i="1"/>
  <c r="B20" i="1"/>
  <c r="B21" i="1"/>
  <c r="B22" i="1"/>
  <c r="B23" i="1"/>
  <c r="B24" i="1"/>
  <c r="B25" i="1"/>
  <c r="K8" i="1"/>
  <c r="K9" i="1"/>
  <c r="K10" i="1"/>
  <c r="K11" i="1"/>
  <c r="K12" i="1"/>
  <c r="K13" i="1"/>
  <c r="K20" i="1"/>
  <c r="K21" i="1"/>
  <c r="K22" i="1"/>
  <c r="K23" i="1"/>
  <c r="K24" i="1"/>
  <c r="K25" i="1"/>
  <c r="L8" i="1"/>
  <c r="L9" i="1"/>
  <c r="L10" i="1"/>
  <c r="L11" i="1"/>
  <c r="L12" i="1"/>
  <c r="L13" i="1"/>
  <c r="L20" i="1"/>
  <c r="L21" i="1"/>
  <c r="L22" i="1"/>
  <c r="L23" i="1"/>
  <c r="L24" i="1"/>
  <c r="L25" i="1"/>
  <c r="M8" i="1"/>
  <c r="M9" i="1"/>
  <c r="M10" i="1"/>
  <c r="M11" i="1"/>
  <c r="M12" i="1"/>
  <c r="M13" i="1"/>
  <c r="M20" i="1"/>
  <c r="M21" i="1"/>
  <c r="M22" i="1"/>
  <c r="M23" i="1"/>
  <c r="M24" i="1"/>
  <c r="M25" i="1"/>
  <c r="N8" i="1"/>
  <c r="N9" i="1"/>
  <c r="N10" i="1"/>
  <c r="N11" i="1"/>
  <c r="N12" i="1"/>
  <c r="N13" i="1"/>
  <c r="N20" i="1"/>
  <c r="N21" i="1"/>
  <c r="N22" i="1"/>
  <c r="N23" i="1"/>
  <c r="N24" i="1"/>
  <c r="N25" i="1"/>
  <c r="O8" i="1"/>
  <c r="P8" i="1" s="1"/>
  <c r="O9" i="1"/>
  <c r="R9" i="1" s="1"/>
  <c r="O10" i="1"/>
  <c r="O11" i="1"/>
  <c r="P11" i="1" s="1"/>
  <c r="O12" i="1"/>
  <c r="O13" i="1"/>
  <c r="R13" i="1" s="1"/>
  <c r="O20" i="1"/>
  <c r="O21" i="1"/>
  <c r="P21" i="1" s="1"/>
  <c r="O22" i="1"/>
  <c r="O23" i="1"/>
  <c r="R23" i="1" s="1"/>
  <c r="O24" i="1"/>
  <c r="O25" i="1"/>
  <c r="P25" i="1" s="1"/>
  <c r="P10" i="1"/>
  <c r="P12" i="1"/>
  <c r="P20" i="1"/>
  <c r="P22" i="1"/>
  <c r="P24" i="1"/>
  <c r="Q9" i="1"/>
  <c r="Q10" i="1"/>
  <c r="Q11" i="1"/>
  <c r="Q12" i="1"/>
  <c r="Q13" i="1"/>
  <c r="Q20" i="1"/>
  <c r="Q21" i="1"/>
  <c r="Q22" i="1"/>
  <c r="Q23" i="1"/>
  <c r="Q24" i="1"/>
  <c r="Q25" i="1"/>
  <c r="R10" i="1"/>
  <c r="R12" i="1"/>
  <c r="R20" i="1"/>
  <c r="R22" i="1"/>
  <c r="R24" i="1"/>
  <c r="S8" i="1"/>
  <c r="S9" i="1"/>
  <c r="S10" i="1"/>
  <c r="S11" i="1"/>
  <c r="S12" i="1"/>
  <c r="S13" i="1"/>
  <c r="S20" i="1"/>
  <c r="S21" i="1"/>
  <c r="S22" i="1"/>
  <c r="S23" i="1"/>
  <c r="S24" i="1"/>
  <c r="S25" i="1"/>
  <c r="T8" i="1"/>
  <c r="T9" i="1"/>
  <c r="T10" i="1"/>
  <c r="T11" i="1"/>
  <c r="T12" i="1"/>
  <c r="T13" i="1"/>
  <c r="T20" i="1"/>
  <c r="T21" i="1"/>
  <c r="T22" i="1"/>
  <c r="T23" i="1"/>
  <c r="T24" i="1"/>
  <c r="T25" i="1"/>
  <c r="U8" i="1"/>
  <c r="U9" i="1"/>
  <c r="U10" i="1"/>
  <c r="U11" i="1"/>
  <c r="U12" i="1"/>
  <c r="U13" i="1"/>
  <c r="U20" i="1"/>
  <c r="U21" i="1"/>
  <c r="U22" i="1"/>
  <c r="U23" i="1"/>
  <c r="U24" i="1"/>
  <c r="U25" i="1"/>
  <c r="V8" i="1"/>
  <c r="V9" i="1"/>
  <c r="V10" i="1"/>
  <c r="V11" i="1"/>
  <c r="V12" i="1"/>
  <c r="V13" i="1"/>
  <c r="V20" i="1"/>
  <c r="V21" i="1"/>
  <c r="V22" i="1"/>
  <c r="V23" i="1"/>
  <c r="V24" i="1"/>
  <c r="V25" i="1"/>
  <c r="W8" i="1"/>
  <c r="W9" i="1"/>
  <c r="W10" i="1"/>
  <c r="W11" i="1"/>
  <c r="W12" i="1"/>
  <c r="W13" i="1"/>
  <c r="W20" i="1"/>
  <c r="W21" i="1"/>
  <c r="W22" i="1"/>
  <c r="W23" i="1"/>
  <c r="W24" i="1"/>
  <c r="W25" i="1"/>
  <c r="X8" i="1"/>
  <c r="AB8" i="1" s="1"/>
  <c r="X9" i="1"/>
  <c r="AB9" i="1" s="1"/>
  <c r="X10" i="1"/>
  <c r="AB10" i="1" s="1"/>
  <c r="X11" i="1"/>
  <c r="AB11" i="1" s="1"/>
  <c r="X12" i="1"/>
  <c r="AB12" i="1" s="1"/>
  <c r="X13" i="1"/>
  <c r="AB13" i="1" s="1"/>
  <c r="X20" i="1"/>
  <c r="AB20" i="1" s="1"/>
  <c r="AC20" i="1" s="1"/>
  <c r="AG20" i="1" s="1"/>
  <c r="X21" i="1"/>
  <c r="AB21" i="1" s="1"/>
  <c r="X22" i="1"/>
  <c r="AB22" i="1" s="1"/>
  <c r="X23" i="1"/>
  <c r="AB23" i="1" s="1"/>
  <c r="X24" i="1"/>
  <c r="AB24" i="1" s="1"/>
  <c r="X25" i="1"/>
  <c r="AB25" i="1" s="1"/>
  <c r="Y8" i="1"/>
  <c r="Y9" i="1"/>
  <c r="Y10" i="1"/>
  <c r="Y11" i="1"/>
  <c r="Y12" i="1"/>
  <c r="Y13" i="1"/>
  <c r="Y20" i="1"/>
  <c r="Y21" i="1"/>
  <c r="Y22" i="1"/>
  <c r="Y23" i="1"/>
  <c r="Y24" i="1"/>
  <c r="Y25" i="1"/>
  <c r="Z8" i="1"/>
  <c r="Z9" i="1"/>
  <c r="Z10" i="1"/>
  <c r="Z11" i="1"/>
  <c r="Z12" i="1"/>
  <c r="Z13" i="1"/>
  <c r="Z20" i="1"/>
  <c r="Z21" i="1"/>
  <c r="Z22" i="1"/>
  <c r="Z23" i="1"/>
  <c r="Z24" i="1"/>
  <c r="Z25" i="1"/>
  <c r="AA8" i="1"/>
  <c r="AA9" i="1"/>
  <c r="AA10" i="1"/>
  <c r="AA11" i="1"/>
  <c r="AA12" i="1"/>
  <c r="AA13" i="1"/>
  <c r="AA20" i="1"/>
  <c r="AA21" i="1"/>
  <c r="AA22" i="1"/>
  <c r="AA23" i="1"/>
  <c r="AA24" i="1"/>
  <c r="AA25" i="1"/>
  <c r="AC24" i="1" l="1"/>
  <c r="AG24" i="1" s="1"/>
  <c r="AC10" i="1"/>
  <c r="AE10" i="1" s="1"/>
  <c r="AC23" i="1"/>
  <c r="AG23" i="1" s="1"/>
  <c r="AC13" i="1"/>
  <c r="AE13" i="1" s="1"/>
  <c r="AC9" i="1"/>
  <c r="AE9" i="1" s="1"/>
  <c r="AC15" i="20"/>
  <c r="AF15" i="20" s="1"/>
  <c r="AC16" i="20"/>
  <c r="AF16" i="20" s="1"/>
  <c r="AC21" i="20"/>
  <c r="AG21" i="20" s="1"/>
  <c r="AC9" i="20"/>
  <c r="AE9" i="20" s="1"/>
  <c r="AC24" i="20"/>
  <c r="AG24" i="20" s="1"/>
  <c r="AC20" i="20"/>
  <c r="AG20" i="20" s="1"/>
  <c r="AC5" i="20"/>
  <c r="AD5" i="20" s="1"/>
  <c r="AC25" i="20"/>
  <c r="AG25" i="20" s="1"/>
  <c r="AC28" i="20"/>
  <c r="AH28" i="20" s="1"/>
  <c r="AC11" i="20"/>
  <c r="AE11" i="20" s="1"/>
  <c r="AC7" i="20"/>
  <c r="AD7" i="20" s="1"/>
  <c r="AC12" i="20"/>
  <c r="AE12" i="20" s="1"/>
  <c r="AC19" i="20"/>
  <c r="AF19" i="20" s="1"/>
  <c r="AC14" i="20"/>
  <c r="AF14" i="20" s="1"/>
  <c r="AC23" i="20"/>
  <c r="AG23" i="20" s="1"/>
  <c r="AC2" i="20"/>
  <c r="AD2" i="20" s="1"/>
  <c r="AC18" i="20"/>
  <c r="AF18" i="20" s="1"/>
  <c r="AC32" i="20"/>
  <c r="AH32" i="20" s="1"/>
  <c r="AC4" i="20"/>
  <c r="AD4" i="20" s="1"/>
  <c r="AC6" i="20"/>
  <c r="AD6" i="20" s="1"/>
  <c r="AC29" i="20"/>
  <c r="AH29" i="20" s="1"/>
  <c r="AC31" i="20"/>
  <c r="AH31" i="20" s="1"/>
  <c r="AC17" i="20"/>
  <c r="AF17" i="20" s="1"/>
  <c r="AC8" i="20"/>
  <c r="AE8" i="20" s="1"/>
  <c r="AC26" i="20"/>
  <c r="AH26" i="20" s="1"/>
  <c r="AC22" i="20"/>
  <c r="AG22" i="20" s="1"/>
  <c r="AC10" i="20"/>
  <c r="AE10" i="20" s="1"/>
  <c r="AC27" i="20"/>
  <c r="AH27" i="20" s="1"/>
  <c r="AC13" i="20"/>
  <c r="AE13" i="20" s="1"/>
  <c r="AC3" i="20"/>
  <c r="AD3" i="20" s="1"/>
  <c r="AC22" i="1"/>
  <c r="AG22" i="1" s="1"/>
  <c r="AC12" i="1"/>
  <c r="AE12" i="1" s="1"/>
  <c r="AC8" i="1"/>
  <c r="AE8" i="1" s="1"/>
  <c r="AC25" i="1"/>
  <c r="AG25" i="1" s="1"/>
  <c r="AC21" i="1"/>
  <c r="AG21" i="1" s="1"/>
  <c r="AC11" i="1"/>
  <c r="AE11" i="1" s="1"/>
  <c r="R25" i="1"/>
  <c r="R21" i="1"/>
  <c r="R11" i="1"/>
  <c r="P23" i="1"/>
  <c r="P13" i="1"/>
  <c r="P9" i="1"/>
  <c r="Q8" i="1"/>
  <c r="R8" i="1" s="1"/>
  <c r="F15" i="13" l="1"/>
  <c r="G15" i="13" s="1"/>
  <c r="F14" i="13"/>
  <c r="G14" i="13" s="1"/>
  <c r="F13" i="13"/>
  <c r="G13" i="13" s="1"/>
  <c r="F12" i="13"/>
  <c r="G12" i="13" s="1"/>
  <c r="F11" i="13"/>
  <c r="G11" i="13" s="1"/>
  <c r="F10" i="13"/>
  <c r="G10" i="13" s="1"/>
  <c r="F9" i="13"/>
  <c r="G9" i="13" s="1"/>
  <c r="F8" i="13"/>
  <c r="G8" i="13" s="1"/>
  <c r="F7" i="13"/>
  <c r="G7" i="13" s="1"/>
  <c r="F6" i="13"/>
  <c r="G6" i="13" s="1"/>
  <c r="A38" i="4" l="1"/>
  <c r="A39" i="4"/>
  <c r="A40" i="4"/>
  <c r="A41" i="4"/>
  <c r="A42" i="4"/>
  <c r="A43" i="4"/>
  <c r="A44" i="4"/>
  <c r="A45" i="4"/>
  <c r="A46" i="4"/>
  <c r="J38" i="4"/>
  <c r="J39" i="4"/>
  <c r="J40" i="4"/>
  <c r="J41" i="4"/>
  <c r="J42" i="4"/>
  <c r="J43" i="4"/>
  <c r="J44" i="4"/>
  <c r="J45" i="4"/>
  <c r="J46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A11" i="4"/>
  <c r="A12" i="4"/>
  <c r="A13" i="4"/>
  <c r="A14" i="4"/>
  <c r="A15" i="4"/>
  <c r="A16" i="4"/>
  <c r="A17" i="4"/>
  <c r="A18" i="4"/>
  <c r="A19" i="4"/>
  <c r="J11" i="4"/>
  <c r="J12" i="4"/>
  <c r="J13" i="4"/>
  <c r="J14" i="4"/>
  <c r="J15" i="4"/>
  <c r="J16" i="4"/>
  <c r="J17" i="4"/>
  <c r="J18" i="4"/>
  <c r="J19" i="4"/>
  <c r="A2" i="4"/>
  <c r="A3" i="4"/>
  <c r="A4" i="4"/>
  <c r="A5" i="4"/>
  <c r="A6" i="4"/>
  <c r="A7" i="4"/>
  <c r="A8" i="4"/>
  <c r="A9" i="4"/>
  <c r="A10" i="4"/>
  <c r="J8" i="4"/>
  <c r="J9" i="4"/>
  <c r="J10" i="4"/>
  <c r="B2" i="1" l="1"/>
  <c r="B3" i="1"/>
  <c r="B4" i="1"/>
  <c r="B5" i="1"/>
  <c r="B6" i="1"/>
  <c r="B7" i="1"/>
  <c r="B14" i="1"/>
  <c r="B15" i="1"/>
  <c r="B16" i="1"/>
  <c r="B17" i="1"/>
  <c r="B18" i="1"/>
  <c r="B19" i="1"/>
  <c r="B26" i="1"/>
  <c r="B27" i="1"/>
  <c r="B28" i="1"/>
  <c r="B29" i="1"/>
  <c r="B30" i="1"/>
  <c r="B31" i="1"/>
  <c r="K41" i="4" l="1"/>
  <c r="L41" i="4" s="1"/>
  <c r="K45" i="4"/>
  <c r="L45" i="4" s="1"/>
  <c r="K21" i="4"/>
  <c r="L21" i="4" s="1"/>
  <c r="K25" i="4"/>
  <c r="L25" i="4" s="1"/>
  <c r="K29" i="4"/>
  <c r="L29" i="4" s="1"/>
  <c r="K33" i="4"/>
  <c r="L33" i="4" s="1"/>
  <c r="K37" i="4"/>
  <c r="L37" i="4" s="1"/>
  <c r="K38" i="4"/>
  <c r="L38" i="4" s="1"/>
  <c r="K42" i="4"/>
  <c r="L42" i="4" s="1"/>
  <c r="K46" i="4"/>
  <c r="L46" i="4" s="1"/>
  <c r="K22" i="4"/>
  <c r="L22" i="4" s="1"/>
  <c r="K26" i="4"/>
  <c r="L26" i="4" s="1"/>
  <c r="K30" i="4"/>
  <c r="L30" i="4" s="1"/>
  <c r="K34" i="4"/>
  <c r="L34" i="4" s="1"/>
  <c r="K40" i="4"/>
  <c r="L40" i="4" s="1"/>
  <c r="K20" i="4"/>
  <c r="L20" i="4" s="1"/>
  <c r="K28" i="4"/>
  <c r="L28" i="4" s="1"/>
  <c r="K36" i="4"/>
  <c r="L36" i="4" s="1"/>
  <c r="K19" i="4"/>
  <c r="L19" i="4" s="1"/>
  <c r="K10" i="4"/>
  <c r="L10" i="4" s="1"/>
  <c r="K39" i="4"/>
  <c r="L39" i="4" s="1"/>
  <c r="K43" i="4"/>
  <c r="L43" i="4" s="1"/>
  <c r="K23" i="4"/>
  <c r="L23" i="4" s="1"/>
  <c r="K27" i="4"/>
  <c r="L27" i="4" s="1"/>
  <c r="K31" i="4"/>
  <c r="L31" i="4" s="1"/>
  <c r="K35" i="4"/>
  <c r="L35" i="4" s="1"/>
  <c r="K13" i="4"/>
  <c r="L13" i="4" s="1"/>
  <c r="K4" i="4"/>
  <c r="L4" i="4" s="1"/>
  <c r="K44" i="4"/>
  <c r="L44" i="4" s="1"/>
  <c r="K24" i="4"/>
  <c r="L24" i="4" s="1"/>
  <c r="K32" i="4"/>
  <c r="L32" i="4" s="1"/>
  <c r="K17" i="4"/>
  <c r="L17" i="4" s="1"/>
  <c r="K5" i="4"/>
  <c r="L5" i="4" s="1"/>
  <c r="K3" i="4"/>
  <c r="L3" i="4" s="1"/>
  <c r="K6" i="4"/>
  <c r="L6" i="4" s="1"/>
  <c r="K18" i="4"/>
  <c r="L18" i="4" s="1"/>
  <c r="K16" i="4"/>
  <c r="L16" i="4" s="1"/>
  <c r="K2" i="4"/>
  <c r="L2" i="4" s="1"/>
  <c r="K8" i="4"/>
  <c r="L8" i="4" s="1"/>
  <c r="K14" i="4"/>
  <c r="L14" i="4" s="1"/>
  <c r="K12" i="4"/>
  <c r="L12" i="4" s="1"/>
  <c r="K15" i="4"/>
  <c r="L15" i="4" s="1"/>
  <c r="K7" i="4"/>
  <c r="L7" i="4" s="1"/>
  <c r="K9" i="4"/>
  <c r="L9" i="4" s="1"/>
  <c r="K11" i="4"/>
  <c r="L11" i="4" s="1"/>
  <c r="AA2" i="1"/>
  <c r="AA3" i="1"/>
  <c r="AA4" i="1"/>
  <c r="AA5" i="1"/>
  <c r="AA6" i="1"/>
  <c r="AA7" i="1"/>
  <c r="AA14" i="1"/>
  <c r="AA15" i="1"/>
  <c r="AA16" i="1"/>
  <c r="AA17" i="1"/>
  <c r="AA18" i="1"/>
  <c r="AA19" i="1"/>
  <c r="AA26" i="1"/>
  <c r="AA27" i="1"/>
  <c r="AA28" i="1"/>
  <c r="AA29" i="1"/>
  <c r="AA30" i="1"/>
  <c r="AA31" i="1"/>
  <c r="Z2" i="1"/>
  <c r="Z3" i="1"/>
  <c r="Z4" i="1"/>
  <c r="Z5" i="1"/>
  <c r="Z6" i="1"/>
  <c r="Z7" i="1"/>
  <c r="Z14" i="1"/>
  <c r="Z15" i="1"/>
  <c r="Z16" i="1"/>
  <c r="Z17" i="1"/>
  <c r="Z18" i="1"/>
  <c r="Z19" i="1"/>
  <c r="Z26" i="1"/>
  <c r="Z27" i="1"/>
  <c r="Z28" i="1"/>
  <c r="Z29" i="1"/>
  <c r="Z30" i="1"/>
  <c r="Z31" i="1"/>
  <c r="T2" i="1"/>
  <c r="U2" i="1" s="1"/>
  <c r="V2" i="1" s="1"/>
  <c r="T3" i="1"/>
  <c r="U3" i="1" s="1"/>
  <c r="V3" i="1" s="1"/>
  <c r="T4" i="1"/>
  <c r="U4" i="1" s="1"/>
  <c r="V4" i="1" s="1"/>
  <c r="T5" i="1"/>
  <c r="U5" i="1" s="1"/>
  <c r="V5" i="1" s="1"/>
  <c r="T6" i="1"/>
  <c r="U6" i="1" s="1"/>
  <c r="V6" i="1" s="1"/>
  <c r="T7" i="1"/>
  <c r="U7" i="1" s="1"/>
  <c r="V7" i="1" s="1"/>
  <c r="T14" i="1"/>
  <c r="U14" i="1" s="1"/>
  <c r="V14" i="1" s="1"/>
  <c r="T15" i="1"/>
  <c r="U15" i="1" s="1"/>
  <c r="V15" i="1" s="1"/>
  <c r="T16" i="1"/>
  <c r="U16" i="1" s="1"/>
  <c r="V16" i="1" s="1"/>
  <c r="T17" i="1"/>
  <c r="U17" i="1" s="1"/>
  <c r="V17" i="1" s="1"/>
  <c r="T18" i="1"/>
  <c r="U18" i="1" s="1"/>
  <c r="V18" i="1" s="1"/>
  <c r="T19" i="1"/>
  <c r="U19" i="1" s="1"/>
  <c r="V19" i="1" s="1"/>
  <c r="T26" i="1"/>
  <c r="U26" i="1" s="1"/>
  <c r="V26" i="1" s="1"/>
  <c r="T27" i="1"/>
  <c r="U27" i="1" s="1"/>
  <c r="V27" i="1" s="1"/>
  <c r="T28" i="1"/>
  <c r="U28" i="1" s="1"/>
  <c r="V28" i="1" s="1"/>
  <c r="T29" i="1"/>
  <c r="U29" i="1" s="1"/>
  <c r="V29" i="1" s="1"/>
  <c r="T30" i="1"/>
  <c r="U30" i="1" s="1"/>
  <c r="V30" i="1" s="1"/>
  <c r="T31" i="1"/>
  <c r="U31" i="1" s="1"/>
  <c r="V31" i="1" s="1"/>
  <c r="K2" i="1"/>
  <c r="S2" i="1" s="1"/>
  <c r="K3" i="1"/>
  <c r="S3" i="1" s="1"/>
  <c r="K4" i="1"/>
  <c r="L4" i="1" s="1"/>
  <c r="K5" i="1"/>
  <c r="S5" i="1" s="1"/>
  <c r="K6" i="1"/>
  <c r="S6" i="1" s="1"/>
  <c r="K7" i="1"/>
  <c r="S7" i="1" s="1"/>
  <c r="K14" i="1"/>
  <c r="L14" i="1" s="1"/>
  <c r="K15" i="1"/>
  <c r="S15" i="1" s="1"/>
  <c r="K16" i="1"/>
  <c r="S16" i="1" s="1"/>
  <c r="K17" i="1"/>
  <c r="S17" i="1" s="1"/>
  <c r="K18" i="1"/>
  <c r="L18" i="1" s="1"/>
  <c r="K19" i="1"/>
  <c r="S19" i="1" s="1"/>
  <c r="K26" i="1"/>
  <c r="S26" i="1" s="1"/>
  <c r="K27" i="1"/>
  <c r="S27" i="1" s="1"/>
  <c r="K28" i="1"/>
  <c r="L28" i="1" s="1"/>
  <c r="K29" i="1"/>
  <c r="S29" i="1" s="1"/>
  <c r="K30" i="1"/>
  <c r="S30" i="1" s="1"/>
  <c r="K31" i="1"/>
  <c r="S31" i="1" s="1"/>
  <c r="S28" i="1" l="1"/>
  <c r="S18" i="1"/>
  <c r="S14" i="1"/>
  <c r="S4" i="1"/>
  <c r="L29" i="1"/>
  <c r="M29" i="1" s="1"/>
  <c r="N29" i="1" s="1"/>
  <c r="O29" i="1" s="1"/>
  <c r="P29" i="1" s="1"/>
  <c r="L19" i="1"/>
  <c r="M19" i="1" s="1"/>
  <c r="N19" i="1" s="1"/>
  <c r="O19" i="1" s="1"/>
  <c r="P19" i="1" s="1"/>
  <c r="L15" i="1"/>
  <c r="M15" i="1" s="1"/>
  <c r="N15" i="1" s="1"/>
  <c r="O15" i="1" s="1"/>
  <c r="L5" i="1"/>
  <c r="M5" i="1" s="1"/>
  <c r="N5" i="1" s="1"/>
  <c r="O5" i="1" s="1"/>
  <c r="W19" i="1"/>
  <c r="W5" i="1"/>
  <c r="W18" i="1"/>
  <c r="W4" i="1"/>
  <c r="W29" i="1"/>
  <c r="W15" i="1"/>
  <c r="W28" i="1"/>
  <c r="W14" i="1"/>
  <c r="W31" i="1"/>
  <c r="W27" i="1"/>
  <c r="W17" i="1"/>
  <c r="W7" i="1"/>
  <c r="W3" i="1"/>
  <c r="W30" i="1"/>
  <c r="W26" i="1"/>
  <c r="W16" i="1"/>
  <c r="W6" i="1"/>
  <c r="W2" i="1"/>
  <c r="M28" i="1"/>
  <c r="N28" i="1" s="1"/>
  <c r="O28" i="1" s="1"/>
  <c r="P28" i="1" s="1"/>
  <c r="L31" i="1"/>
  <c r="M31" i="1" s="1"/>
  <c r="N31" i="1" s="1"/>
  <c r="O31" i="1" s="1"/>
  <c r="P31" i="1" s="1"/>
  <c r="L27" i="1"/>
  <c r="M27" i="1" s="1"/>
  <c r="L17" i="1"/>
  <c r="L7" i="1"/>
  <c r="L3" i="1"/>
  <c r="M3" i="1" s="1"/>
  <c r="M18" i="1"/>
  <c r="N18" i="1" s="1"/>
  <c r="O18" i="1" s="1"/>
  <c r="P18" i="1" s="1"/>
  <c r="L30" i="1"/>
  <c r="M30" i="1" s="1"/>
  <c r="L26" i="1"/>
  <c r="M26" i="1" s="1"/>
  <c r="L16" i="1"/>
  <c r="L6" i="1"/>
  <c r="L2" i="1"/>
  <c r="M2" i="1" s="1"/>
  <c r="M14" i="1"/>
  <c r="N14" i="1" s="1"/>
  <c r="O14" i="1" s="1"/>
  <c r="P14" i="1" s="1"/>
  <c r="M4" i="1"/>
  <c r="N4" i="1" s="1"/>
  <c r="O4" i="1" s="1"/>
  <c r="P4" i="1" s="1"/>
  <c r="P5" i="1" l="1"/>
  <c r="P15" i="1"/>
  <c r="Q19" i="1"/>
  <c r="R19" i="1" s="1"/>
  <c r="Q29" i="1"/>
  <c r="R29" i="1" s="1"/>
  <c r="Q31" i="1"/>
  <c r="R31" i="1" s="1"/>
  <c r="Q5" i="1"/>
  <c r="R5" i="1" s="1"/>
  <c r="Q14" i="1"/>
  <c r="R14" i="1" s="1"/>
  <c r="Q18" i="1"/>
  <c r="R18" i="1" s="1"/>
  <c r="Q28" i="1"/>
  <c r="R28" i="1" s="1"/>
  <c r="Q15" i="1"/>
  <c r="R15" i="1" s="1"/>
  <c r="Q4" i="1"/>
  <c r="R4" i="1" s="1"/>
  <c r="X16" i="1"/>
  <c r="X4" i="1"/>
  <c r="X26" i="1"/>
  <c r="X17" i="1"/>
  <c r="X28" i="1"/>
  <c r="X18" i="1"/>
  <c r="X7" i="1"/>
  <c r="X14" i="1"/>
  <c r="X2" i="1"/>
  <c r="X30" i="1"/>
  <c r="X27" i="1"/>
  <c r="X15" i="1"/>
  <c r="X5" i="1"/>
  <c r="X6" i="1"/>
  <c r="X3" i="1"/>
  <c r="X31" i="1"/>
  <c r="X29" i="1"/>
  <c r="X19" i="1"/>
  <c r="N26" i="1"/>
  <c r="O26" i="1" s="1"/>
  <c r="N3" i="1"/>
  <c r="O3" i="1" s="1"/>
  <c r="M7" i="1"/>
  <c r="N7" i="1" s="1"/>
  <c r="O7" i="1" s="1"/>
  <c r="N27" i="1"/>
  <c r="O27" i="1" s="1"/>
  <c r="M6" i="1"/>
  <c r="N6" i="1" s="1"/>
  <c r="O6" i="1" s="1"/>
  <c r="N2" i="1"/>
  <c r="O2" i="1" s="1"/>
  <c r="N30" i="1"/>
  <c r="O30" i="1" s="1"/>
  <c r="M16" i="1"/>
  <c r="N16" i="1" s="1"/>
  <c r="O16" i="1" s="1"/>
  <c r="M17" i="1"/>
  <c r="N17" i="1" s="1"/>
  <c r="O17" i="1" s="1"/>
  <c r="Y29" i="1" l="1"/>
  <c r="AB29" i="1"/>
  <c r="AC29" i="1" s="1"/>
  <c r="AH29" i="1" s="1"/>
  <c r="Y5" i="1"/>
  <c r="AB5" i="1"/>
  <c r="AC5" i="1" s="1"/>
  <c r="AD5" i="1" s="1"/>
  <c r="Y2" i="1"/>
  <c r="AB2" i="1"/>
  <c r="AC2" i="1" s="1"/>
  <c r="AD2" i="1" s="1"/>
  <c r="Y28" i="1"/>
  <c r="AB28" i="1"/>
  <c r="AC28" i="1" s="1"/>
  <c r="AH28" i="1" s="1"/>
  <c r="Y16" i="1"/>
  <c r="AB16" i="1"/>
  <c r="AC16" i="1" s="1"/>
  <c r="AF16" i="1" s="1"/>
  <c r="Y31" i="1"/>
  <c r="AB31" i="1"/>
  <c r="AC31" i="1" s="1"/>
  <c r="AH31" i="1" s="1"/>
  <c r="Y15" i="1"/>
  <c r="AB15" i="1"/>
  <c r="AC15" i="1" s="1"/>
  <c r="AF15" i="1" s="1"/>
  <c r="Y14" i="1"/>
  <c r="AB14" i="1"/>
  <c r="AC14" i="1" s="1"/>
  <c r="AF14" i="1" s="1"/>
  <c r="Y17" i="1"/>
  <c r="AB17" i="1"/>
  <c r="AC17" i="1" s="1"/>
  <c r="AF17" i="1" s="1"/>
  <c r="Y3" i="1"/>
  <c r="AB3" i="1"/>
  <c r="AC3" i="1" s="1"/>
  <c r="AD3" i="1" s="1"/>
  <c r="Y27" i="1"/>
  <c r="AB27" i="1"/>
  <c r="AC27" i="1" s="1"/>
  <c r="AH27" i="1" s="1"/>
  <c r="Y7" i="1"/>
  <c r="AB7" i="1"/>
  <c r="AC7" i="1" s="1"/>
  <c r="AD7" i="1" s="1"/>
  <c r="Y26" i="1"/>
  <c r="AB26" i="1"/>
  <c r="AC26" i="1" s="1"/>
  <c r="AH26" i="1" s="1"/>
  <c r="Y19" i="1"/>
  <c r="AB19" i="1"/>
  <c r="AC19" i="1" s="1"/>
  <c r="AF19" i="1" s="1"/>
  <c r="Y6" i="1"/>
  <c r="AB6" i="1"/>
  <c r="AC6" i="1" s="1"/>
  <c r="AD6" i="1" s="1"/>
  <c r="Y30" i="1"/>
  <c r="AB30" i="1"/>
  <c r="AC30" i="1" s="1"/>
  <c r="AH30" i="1" s="1"/>
  <c r="Y18" i="1"/>
  <c r="AB18" i="1"/>
  <c r="AC18" i="1" s="1"/>
  <c r="AF18" i="1" s="1"/>
  <c r="Y4" i="1"/>
  <c r="AB4" i="1"/>
  <c r="AC4" i="1" s="1"/>
  <c r="AD4" i="1" s="1"/>
  <c r="P2" i="1"/>
  <c r="P3" i="1"/>
  <c r="P17" i="1"/>
  <c r="P27" i="1"/>
  <c r="P26" i="1"/>
  <c r="P6" i="1"/>
  <c r="P16" i="1"/>
  <c r="P30" i="1"/>
  <c r="P7" i="1"/>
  <c r="Q17" i="1"/>
  <c r="R17" i="1" s="1"/>
  <c r="Q27" i="1"/>
  <c r="R27" i="1" s="1"/>
  <c r="Q26" i="1"/>
  <c r="R26" i="1" s="1"/>
  <c r="Q16" i="1"/>
  <c r="R16" i="1" s="1"/>
  <c r="Q30" i="1"/>
  <c r="R30" i="1" s="1"/>
  <c r="Q7" i="1"/>
  <c r="R7" i="1" s="1"/>
  <c r="Q2" i="1"/>
  <c r="R2" i="1" s="1"/>
  <c r="Q3" i="1"/>
  <c r="R3" i="1" s="1"/>
  <c r="Q6" i="1"/>
  <c r="R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Mike</author>
  </authors>
  <commentList>
    <comment ref="I11" authorId="0" shapeId="0" xr:uid="{F11BF8E2-E6F7-4F1C-AA03-3B76BFD788ED}">
      <text>
        <r>
          <rPr>
            <sz val="9"/>
            <color indexed="81"/>
            <rFont val="Tahoma"/>
            <family val="2"/>
          </rPr>
          <t>made-up number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Mike</author>
  </authors>
  <commentList>
    <comment ref="I11" authorId="0" shapeId="0" xr:uid="{7A6B79E8-94C8-4D9E-81CC-34E9DE4B780F}">
      <text>
        <r>
          <rPr>
            <sz val="9"/>
            <color indexed="81"/>
            <rFont val="Tahoma"/>
            <family val="2"/>
          </rPr>
          <t>made-up number</t>
        </r>
      </text>
    </comment>
  </commentList>
</comments>
</file>

<file path=xl/sharedStrings.xml><?xml version="1.0" encoding="utf-8"?>
<sst xmlns="http://schemas.openxmlformats.org/spreadsheetml/2006/main" count="930" uniqueCount="85">
  <si>
    <t>test</t>
  </si>
  <si>
    <t>corpus</t>
  </si>
  <si>
    <t>test-allvar</t>
  </si>
  <si>
    <t>operation-idx</t>
  </si>
  <si>
    <t>operation</t>
  </si>
  <si>
    <t>sut</t>
  </si>
  <si>
    <t>sut-platform</t>
  </si>
  <si>
    <t>sut-cfa-level</t>
  </si>
  <si>
    <t>sut-cfa-sharing</t>
  </si>
  <si>
    <t>corpus-allvar</t>
  </si>
  <si>
    <t>corpus-varsuffix</t>
  </si>
  <si>
    <t>corpus-nstrs</t>
  </si>
  <si>
    <t>corpus-varsuffix2</t>
  </si>
  <si>
    <t>corpus-meanlen</t>
  </si>
  <si>
    <t>corpus-runid</t>
  </si>
  <si>
    <t>Column Labels</t>
  </si>
  <si>
    <t>Row Labels</t>
  </si>
  <si>
    <t>run</t>
  </si>
  <si>
    <t>concatsPerReset</t>
  </si>
  <si>
    <t>execTimeActualSec</t>
  </si>
  <si>
    <t>corpusMeanLenChars</t>
  </si>
  <si>
    <t>concatDoneActualCount</t>
  </si>
  <si>
    <t>ops-per-sec</t>
  </si>
  <si>
    <t>op-duration</t>
  </si>
  <si>
    <t>Average of op-duration</t>
  </si>
  <si>
    <t>corpus-100-1-1.txt</t>
  </si>
  <si>
    <t>corpus-100-10-1.txt</t>
  </si>
  <si>
    <t>corpus-100-2-1.txt</t>
  </si>
  <si>
    <t>corpus-100-20-1.txt</t>
  </si>
  <si>
    <t>corpus-100-5-1.txt</t>
  </si>
  <si>
    <t>corpusItemCount</t>
  </si>
  <si>
    <t>test@corpus</t>
  </si>
  <si>
    <t>op-duration-observed</t>
  </si>
  <si>
    <t>op-duration-baseline</t>
  </si>
  <si>
    <t>rel-duration</t>
  </si>
  <si>
    <t>test-conformed</t>
  </si>
  <si>
    <t>perfexp-cfa-ll-peq-noshare-fresh</t>
  </si>
  <si>
    <t>perfexp-stl-peq-fresh</t>
  </si>
  <si>
    <t>suffix-cfa-sharing-alloc</t>
  </si>
  <si>
    <t>op-alloc</t>
  </si>
  <si>
    <t>(All)</t>
  </si>
  <si>
    <t>corpus-100-100-1.txt</t>
  </si>
  <si>
    <t>corpus-100-50-1.txt</t>
  </si>
  <si>
    <t>corpus-100-200-1.txt</t>
  </si>
  <si>
    <t>corpus-100-500-1.txt</t>
  </si>
  <si>
    <t>xxx</t>
  </si>
  <si>
    <t>cfa-ll-share-na</t>
  </si>
  <si>
    <t>ll</t>
  </si>
  <si>
    <t>cfa</t>
  </si>
  <si>
    <t>share</t>
  </si>
  <si>
    <t>na</t>
  </si>
  <si>
    <t>Sum of op-duration</t>
  </si>
  <si>
    <t>Delta</t>
  </si>
  <si>
    <t>Slowdown</t>
  </si>
  <si>
    <t>corpus-1-1-1.txt</t>
  </si>
  <si>
    <t>corpus-1-10-1.txt</t>
  </si>
  <si>
    <t>corpus-1-100-1.txt</t>
  </si>
  <si>
    <t>corpus-1-2-1.txt</t>
  </si>
  <si>
    <t>corpus-1-20-1.txt</t>
  </si>
  <si>
    <t>corpus-1-200-1.txt</t>
  </si>
  <si>
    <t>corpus-1-5-1.txt</t>
  </si>
  <si>
    <t>corpus-1-50-1.txt</t>
  </si>
  <si>
    <t>corpus-1-500-1.txt</t>
  </si>
  <si>
    <t>perfexp-cfa-pall-ll-share-na</t>
  </si>
  <si>
    <t>pal</t>
  </si>
  <si>
    <t>perfexp-stl-pal-na-na-na</t>
  </si>
  <si>
    <t>perfexp-cfa-pal-ll-share-na</t>
  </si>
  <si>
    <t>Column1</t>
  </si>
  <si>
    <t>heapGrowThreshold</t>
  </si>
  <si>
    <t>cfa-ll-share-na Total</t>
  </si>
  <si>
    <t>measurement-2022-02-02--22-18-20.csv</t>
  </si>
  <si>
    <t>measurement-2022-02-02--22-33-38.csv</t>
  </si>
  <si>
    <t>corpuslen</t>
  </si>
  <si>
    <t>expansion</t>
  </si>
  <si>
    <t>elapsed_whole_test</t>
  </si>
  <si>
    <t>elapsed_last_alloc</t>
  </si>
  <si>
    <t>seclast_req_mem</t>
  </si>
  <si>
    <t>rowid</t>
  </si>
  <si>
    <t>memrowid</t>
  </si>
  <si>
    <t>mem-amt</t>
  </si>
  <si>
    <t>mem20</t>
  </si>
  <si>
    <t>mem50</t>
  </si>
  <si>
    <t>mem100</t>
  </si>
  <si>
    <t>mem200</t>
  </si>
  <si>
    <t>mem500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</si>
</sst>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"/>
    <numFmt numFmtId="165" formatCode="\+#.0%;\-#.0%;"/>
    <numFmt numFmtId="166" formatCode="_-* #,##0_-;\-* #,##0_-;_-* &quot;-&quot;??_-;_-@_-"/>
    <numFmt numFmtId="167" formatCode="_-* #,##0.0000000_-;\-* #,##0.0000000_-;_-* &quot;-&quot;??_-;_-@_-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0" fontId="0" fillId="0" borderId="1" xfId="0" applyBorder="1"/>
    <xf numFmtId="0" fontId="0" fillId="2" borderId="1" xfId="0" applyFill="1" applyBorder="1"/>
    <xf numFmtId="0" fontId="3" fillId="2" borderId="1" xfId="0" applyFont="1" applyFill="1" applyBorder="1"/>
    <xf numFmtId="0" fontId="3" fillId="0" borderId="3" xfId="0" applyFont="1" applyFill="1" applyBorder="1"/>
    <xf numFmtId="165" fontId="3" fillId="0" borderId="3" xfId="1" applyNumberFormat="1" applyFont="1" applyFill="1" applyBorder="1"/>
    <xf numFmtId="165" fontId="0" fillId="0" borderId="0" xfId="1" applyNumberFormat="1" applyFont="1"/>
    <xf numFmtId="0" fontId="3" fillId="0" borderId="4" xfId="0" applyFont="1" applyFill="1" applyBorder="1"/>
    <xf numFmtId="164" fontId="0" fillId="0" borderId="0" xfId="1" applyNumberFormat="1" applyFont="1"/>
    <xf numFmtId="0" fontId="0" fillId="0" borderId="0" xfId="0" applyNumberFormat="1" applyBorder="1"/>
    <xf numFmtId="0" fontId="0" fillId="0" borderId="5" xfId="0" applyBorder="1"/>
    <xf numFmtId="164" fontId="0" fillId="0" borderId="0" xfId="1" applyNumberFormat="1" applyFont="1" applyBorder="1"/>
    <xf numFmtId="165" fontId="0" fillId="0" borderId="0" xfId="1" applyNumberFormat="1" applyFont="1" applyBorder="1"/>
    <xf numFmtId="164" fontId="3" fillId="0" borderId="2" xfId="0" applyNumberFormat="1" applyFont="1" applyFill="1" applyBorder="1"/>
    <xf numFmtId="164" fontId="0" fillId="0" borderId="0" xfId="0" applyNumberFormat="1" applyFill="1"/>
    <xf numFmtId="164" fontId="0" fillId="0" borderId="0" xfId="0" applyNumberFormat="1" applyFill="1" applyBorder="1"/>
    <xf numFmtId="0" fontId="0" fillId="0" borderId="0" xfId="0" applyFill="1"/>
    <xf numFmtId="0" fontId="0" fillId="0" borderId="6" xfId="0" applyBorder="1"/>
    <xf numFmtId="0" fontId="0" fillId="0" borderId="7" xfId="0" applyBorder="1"/>
    <xf numFmtId="0" fontId="0" fillId="0" borderId="0" xfId="0" applyAlignment="1">
      <alignment horizontal="right"/>
    </xf>
    <xf numFmtId="9" fontId="0" fillId="0" borderId="0" xfId="1" applyFont="1"/>
    <xf numFmtId="164" fontId="0" fillId="0" borderId="0" xfId="0" applyNumberFormat="1" applyBorder="1"/>
    <xf numFmtId="0" fontId="0" fillId="3" borderId="1" xfId="0" applyFill="1" applyBorder="1"/>
    <xf numFmtId="0" fontId="0" fillId="4" borderId="1" xfId="0" applyFill="1" applyBorder="1"/>
    <xf numFmtId="166" fontId="0" fillId="2" borderId="1" xfId="2" applyNumberFormat="1" applyFont="1" applyFill="1" applyBorder="1"/>
    <xf numFmtId="166" fontId="0" fillId="0" borderId="1" xfId="2" applyNumberFormat="1" applyFont="1" applyBorder="1"/>
    <xf numFmtId="166" fontId="0" fillId="4" borderId="1" xfId="2" applyNumberFormat="1" applyFont="1" applyFill="1" applyBorder="1"/>
    <xf numFmtId="166" fontId="0" fillId="3" borderId="1" xfId="2" applyNumberFormat="1" applyFont="1" applyFill="1" applyBorder="1"/>
    <xf numFmtId="167" fontId="0" fillId="2" borderId="1" xfId="2" applyNumberFormat="1" applyFont="1" applyFill="1" applyBorder="1"/>
    <xf numFmtId="167" fontId="0" fillId="0" borderId="1" xfId="2" applyNumberFormat="1" applyFont="1" applyFill="1" applyBorder="1"/>
    <xf numFmtId="167" fontId="0" fillId="0" borderId="1" xfId="2" applyNumberFormat="1" applyFont="1" applyBorder="1"/>
    <xf numFmtId="0" fontId="0" fillId="0" borderId="4" xfId="0" applyNumberFormat="1" applyBorder="1"/>
    <xf numFmtId="166" fontId="0" fillId="0" borderId="5" xfId="2" applyNumberFormat="1" applyFont="1" applyBorder="1"/>
    <xf numFmtId="167" fontId="0" fillId="0" borderId="5" xfId="2" applyNumberFormat="1" applyFont="1" applyFill="1" applyBorder="1"/>
    <xf numFmtId="0" fontId="0" fillId="3" borderId="5" xfId="0" applyFill="1" applyBorder="1"/>
    <xf numFmtId="166" fontId="0" fillId="3" borderId="5" xfId="2" applyNumberFormat="1" applyFont="1" applyFill="1" applyBorder="1"/>
    <xf numFmtId="0" fontId="0" fillId="0" borderId="4" xfId="0" applyBorder="1"/>
    <xf numFmtId="0" fontId="0" fillId="5" borderId="0" xfId="0" applyFill="1"/>
    <xf numFmtId="0" fontId="0" fillId="6" borderId="0" xfId="0" applyFill="1"/>
    <xf numFmtId="166" fontId="0" fillId="6" borderId="5" xfId="2" applyNumberFormat="1" applyFont="1" applyFill="1" applyBorder="1"/>
    <xf numFmtId="166" fontId="0" fillId="7" borderId="1" xfId="2" applyNumberFormat="1" applyFont="1" applyFill="1" applyBorder="1"/>
  </cellXfs>
  <cellStyles count="3">
    <cellStyle name="Comma" xfId="2" builtinId="3"/>
    <cellStyle name="Normal" xfId="0" builtinId="0"/>
    <cellStyle name="Percent" xfId="1" builtinId="5"/>
  </cellStyles>
  <dxfs count="11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4" formatCode="0.0"/>
    </dxf>
    <dxf>
      <numFmt numFmtId="164" formatCode="0.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  <border outline="0">
        <left style="thin">
          <color indexed="64"/>
        </left>
      </border>
    </dxf>
    <dxf>
      <numFmt numFmtId="167" formatCode="_-* #,##0.0000000_-;\-* #,##0.0000000_-;_-* &quot;-&quot;??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6" formatCode="_-* #,##0_-;\-* #,##0_-;_-* &quot;-&quot;??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</dxf>
    <dxf>
      <numFmt numFmtId="0" formatCode="General"/>
    </dxf>
    <dxf>
      <numFmt numFmtId="164" formatCode="0.0"/>
    </dxf>
    <dxf>
      <numFmt numFmtId="165" formatCode="\+#.0%;\-#.0%;"/>
    </dxf>
    <dxf>
      <numFmt numFmtId="164" formatCode="0.0"/>
    </dxf>
    <dxf>
      <numFmt numFmtId="164" formatCode="0.0"/>
      <fill>
        <patternFill patternType="none">
          <fgColor indexed="64"/>
          <bgColor auto="1"/>
        </patternFill>
      </fill>
    </dxf>
    <dxf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4" formatCode="0.0"/>
    </dxf>
    <dxf>
      <numFmt numFmtId="164" formatCode="0.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  <border outline="0">
        <left style="thin">
          <color indexed="64"/>
        </left>
      </border>
    </dxf>
    <dxf>
      <numFmt numFmtId="167" formatCode="_-* #,##0.0000000_-;\-* #,##0.0000000_-;_-* &quot;-&quot;??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6" formatCode="_-* #,##0_-;\-* #,##0_-;_-* &quot;-&quot;??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4" formatCode="0.0"/>
    </dxf>
    <dxf>
      <numFmt numFmtId="164" formatCode="0.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  <border outline="0">
        <left style="thin">
          <color indexed="64"/>
        </left>
      </border>
    </dxf>
    <dxf>
      <numFmt numFmtId="167" formatCode="_-* #,##0.0000000_-;\-* #,##0.0000000_-;_-* &quot;-&quot;??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6" formatCode="_-* #,##0_-;\-* #,##0_-;_-* &quot;-&quot;??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20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79048D88-21CD-4E22-80CA-6AE742A86397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05BA-44CC-86B5-DC8BF6155C6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8EAA816B-498B-4D3A-9FAB-6BB612186C82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05BA-44CC-86B5-DC8BF6155C6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F5C09B2-14CB-421D-A8B0-A6FAE6FDED9D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05BA-44CC-86B5-DC8BF6155C6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02E1D602-C847-4377-BDC0-5AAEFB478AC2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05BA-44CC-86B5-DC8BF6155C6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87C7EEBA-4E74-45FE-BC97-A6914EAE29A7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05BA-44CC-86B5-DC8BF6155C6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4C0D5AE6-F479-415F-8875-19983BB77042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05BA-44CC-86B5-DC8BF6155C6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B98B0323-F777-4E44-8411-B49886F55D15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05BA-44CC-86B5-DC8BF6155C69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8B0A1716-C7EF-4495-8BE8-F452A582AD8B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05BA-44CC-86B5-DC8BF6155C69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6D1F1515-FF33-4CAB-87A3-B9A3D2D896F4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05BA-44CC-86B5-DC8BF6155C69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24AEF90A-8F65-4652-BA13-E02C42B3CF9E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05BA-44CC-86B5-DC8BF6155C69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6D24EB63-AD05-4873-80B7-C2CC6A1C9432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05BA-44CC-86B5-DC8BF6155C69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762823FF-8EF0-492E-A803-5F33B5A4AF15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05BA-44CC-86B5-DC8BF6155C69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DC0A08F8-8A7F-4D05-B34A-05C8E887E0A6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05BA-44CC-86B5-DC8BF6155C69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AF890622-5CE9-4271-AB29-391840D8BC57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05BA-44CC-86B5-DC8BF6155C69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0927A578-E941-4AFE-84EF-8C00EDC1278B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05BA-44CC-86B5-DC8BF6155C69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88B71D2E-BBC2-4B2D-B463-864A1DB3078E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05BA-44CC-86B5-DC8BF6155C69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B5129D1C-1152-4245-8663-E0E651169CBF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05BA-44CC-86B5-DC8BF6155C69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853C1C87-A31A-4E37-9C3B-53D49468E2D8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05BA-44CC-86B5-DC8BF6155C69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390D8984-6C83-4A4A-A27F-973D1483D2CD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05BA-44CC-86B5-DC8BF6155C69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44C73E7B-6A98-4CEE-91EE-F5E5E7E7589A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05BA-44CC-86B5-DC8BF6155C69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A431DEA7-2AA5-4BC3-A7F7-473C9C6ED647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05BA-44CC-86B5-DC8BF6155C69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5C75C89F-A2F6-48D7-8793-2AC3BB8E3E92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05BA-44CC-86B5-DC8BF6155C69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443F6086-D609-4B62-A3FE-62D68D235819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05BA-44CC-86B5-DC8BF6155C69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497E208B-2317-401B-A9B2-39AAA83D1925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05BA-44CC-86B5-DC8BF6155C69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5BB271AF-99CA-4138-94DD-1CD16FD30F20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05BA-44CC-86B5-DC8BF6155C69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74517C24-7533-4D48-BC07-C55FF47F7793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05BA-44CC-86B5-DC8BF6155C69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7D07445D-5A7D-49E5-96AC-998F88D55D61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05BA-44CC-86B5-DC8BF6155C69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A35E521-B721-4188-A71A-D57AC8872D9A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05BA-44CC-86B5-DC8BF6155C69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D5525397-3E65-44D0-828E-27EF3D4F6522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05BA-44CC-86B5-DC8BF6155C69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A35CC685-049A-4F3C-BB28-240BDDB23A4D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05BA-44CC-86B5-DC8BF6155C69}"/>
                </c:ext>
              </c:extLst>
            </c:dLbl>
            <c:numFmt formatCode="#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import!$AA$2:$AA$31</c:f>
              <c:numCache>
                <c:formatCode>0.0</c:formatCode>
                <c:ptCount val="30"/>
                <c:pt idx="0">
                  <c:v>37.489578256794751</c:v>
                </c:pt>
                <c:pt idx="1">
                  <c:v>37.573879391320681</c:v>
                </c:pt>
                <c:pt idx="2">
                  <c:v>38.268567273840496</c:v>
                </c:pt>
                <c:pt idx="3">
                  <c:v>38.340578154353409</c:v>
                </c:pt>
                <c:pt idx="4">
                  <c:v>40.954218199688761</c:v>
                </c:pt>
                <c:pt idx="5">
                  <c:v>49.04897979203453</c:v>
                </c:pt>
                <c:pt idx="6">
                  <c:v>39.265285848908434</c:v>
                </c:pt>
                <c:pt idx="7">
                  <c:v>39.198957312531846</c:v>
                </c:pt>
                <c:pt idx="8">
                  <c:v>39.878450372851617</c:v>
                </c:pt>
                <c:pt idx="9">
                  <c:v>50.247226409406096</c:v>
                </c:pt>
                <c:pt idx="10">
                  <c:v>43.931972938540611</c:v>
                </c:pt>
                <c:pt idx="11">
                  <c:v>55.662267616609149</c:v>
                </c:pt>
                <c:pt idx="12">
                  <c:v>49.460950638045304</c:v>
                </c:pt>
                <c:pt idx="13">
                  <c:v>51.857441402198717</c:v>
                </c:pt>
                <c:pt idx="14">
                  <c:v>50.958769873624135</c:v>
                </c:pt>
                <c:pt idx="15">
                  <c:v>55.507182504440493</c:v>
                </c:pt>
                <c:pt idx="16">
                  <c:v>55.765510511347799</c:v>
                </c:pt>
                <c:pt idx="17">
                  <c:v>71.001498047568333</c:v>
                </c:pt>
                <c:pt idx="18">
                  <c:v>64.147113534316858</c:v>
                </c:pt>
                <c:pt idx="19">
                  <c:v>51.075163432073545</c:v>
                </c:pt>
                <c:pt idx="20">
                  <c:v>51.280349725655093</c:v>
                </c:pt>
                <c:pt idx="21">
                  <c:v>52.195777441411352</c:v>
                </c:pt>
                <c:pt idx="22">
                  <c:v>55.003030469695304</c:v>
                </c:pt>
                <c:pt idx="23">
                  <c:v>67.013067077665355</c:v>
                </c:pt>
                <c:pt idx="24">
                  <c:v>114.70248881752494</c:v>
                </c:pt>
                <c:pt idx="25">
                  <c:v>116.46784674507978</c:v>
                </c:pt>
                <c:pt idx="26">
                  <c:v>88.043480940223617</c:v>
                </c:pt>
                <c:pt idx="27">
                  <c:v>89.252110664881741</c:v>
                </c:pt>
                <c:pt idx="28">
                  <c:v>88.285512492275089</c:v>
                </c:pt>
                <c:pt idx="29">
                  <c:v>87.996647602287723</c:v>
                </c:pt>
              </c:numCache>
            </c:numRef>
          </c:xVal>
          <c:yVal>
            <c:numRef>
              <c:f>import!$AD$2:$AD$31</c:f>
              <c:numCache>
                <c:formatCode>General</c:formatCode>
                <c:ptCount val="30"/>
                <c:pt idx="0">
                  <c:v>1035966</c:v>
                </c:pt>
                <c:pt idx="1">
                  <c:v>523966</c:v>
                </c:pt>
                <c:pt idx="2">
                  <c:v>267966</c:v>
                </c:pt>
                <c:pt idx="3">
                  <c:v>139966</c:v>
                </c:pt>
                <c:pt idx="4">
                  <c:v>75966</c:v>
                </c:pt>
                <c:pt idx="5">
                  <c:v>43966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import!$E$2:$E$31</c15:f>
                <c15:dlblRangeCache>
                  <c:ptCount val="30"/>
                  <c:pt idx="0">
                    <c:v>0.02</c:v>
                  </c:pt>
                  <c:pt idx="1">
                    <c:v>0.05</c:v>
                  </c:pt>
                  <c:pt idx="2">
                    <c:v>0.1</c:v>
                  </c:pt>
                  <c:pt idx="3">
                    <c:v>0.2</c:v>
                  </c:pt>
                  <c:pt idx="4">
                    <c:v>0.5</c:v>
                  </c:pt>
                  <c:pt idx="5">
                    <c:v>0.9</c:v>
                  </c:pt>
                  <c:pt idx="6">
                    <c:v>0.02</c:v>
                  </c:pt>
                  <c:pt idx="7">
                    <c:v>0.05</c:v>
                  </c:pt>
                  <c:pt idx="8">
                    <c:v>0.1</c:v>
                  </c:pt>
                  <c:pt idx="9">
                    <c:v>0.2</c:v>
                  </c:pt>
                  <c:pt idx="10">
                    <c:v>0.5</c:v>
                  </c:pt>
                  <c:pt idx="11">
                    <c:v>0.9</c:v>
                  </c:pt>
                  <c:pt idx="12">
                    <c:v>0.02</c:v>
                  </c:pt>
                  <c:pt idx="13">
                    <c:v>0.05</c:v>
                  </c:pt>
                  <c:pt idx="14">
                    <c:v>0.1</c:v>
                  </c:pt>
                  <c:pt idx="15">
                    <c:v>0.2</c:v>
                  </c:pt>
                  <c:pt idx="16">
                    <c:v>0.5</c:v>
                  </c:pt>
                  <c:pt idx="17">
                    <c:v>0.9</c:v>
                  </c:pt>
                  <c:pt idx="18">
                    <c:v>0.02</c:v>
                  </c:pt>
                  <c:pt idx="19">
                    <c:v>0.05</c:v>
                  </c:pt>
                  <c:pt idx="20">
                    <c:v>0.1</c:v>
                  </c:pt>
                  <c:pt idx="21">
                    <c:v>0.2</c:v>
                  </c:pt>
                  <c:pt idx="22">
                    <c:v>0.5</c:v>
                  </c:pt>
                  <c:pt idx="23">
                    <c:v>0.9</c:v>
                  </c:pt>
                  <c:pt idx="24">
                    <c:v>0.02</c:v>
                  </c:pt>
                  <c:pt idx="25">
                    <c:v>0.05</c:v>
                  </c:pt>
                  <c:pt idx="26">
                    <c:v>0.1</c:v>
                  </c:pt>
                  <c:pt idx="27">
                    <c:v>0.2</c:v>
                  </c:pt>
                  <c:pt idx="28">
                    <c:v>0.5</c:v>
                  </c:pt>
                  <c:pt idx="29">
                    <c:v>0.9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3-05BA-44CC-86B5-DC8BF6155C69}"/>
            </c:ext>
          </c:extLst>
        </c:ser>
        <c:ser>
          <c:idx val="1"/>
          <c:order val="1"/>
          <c:tx>
            <c:v>50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7636176C-8581-4AE6-A411-DE736E6B2F52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05BA-44CC-86B5-DC8BF6155C6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ACA838C-A9ED-4FC8-8704-ADACEA0B2146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05BA-44CC-86B5-DC8BF6155C6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D1C332E-3EDC-4C88-BE3E-0EFEE49C81A5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05BA-44CC-86B5-DC8BF6155C6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9ECEF783-E3F8-4F70-83FE-E22388E72349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05BA-44CC-86B5-DC8BF6155C6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7B42704-8A57-4464-A1EA-481AD60EB352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05BA-44CC-86B5-DC8BF6155C6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A4F0DED5-D91E-425E-B273-71872DE78F61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05BA-44CC-86B5-DC8BF6155C6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9B801F59-0EB7-40FF-A54C-130DDA540E03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05BA-44CC-86B5-DC8BF6155C69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910BF558-E60E-41C0-8914-20A7D18CDB13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05BA-44CC-86B5-DC8BF6155C69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F6D1F09-4C99-40AF-A778-49C99213EF35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05BA-44CC-86B5-DC8BF6155C69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50373DCF-E4AA-4A53-9735-220F06F18C42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05BA-44CC-86B5-DC8BF6155C69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959D5CF8-71A6-43E1-BBE6-A6FD9C98FE3A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05BA-44CC-86B5-DC8BF6155C69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DCBE61D9-F4D7-4EB7-9C98-B973133C1041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05BA-44CC-86B5-DC8BF6155C69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E506C9A-02B1-4632-84D2-57B68D0CE42B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2-05BA-44CC-86B5-DC8BF6155C69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84C6347D-57A1-4A1A-A13B-6747CFC7BD50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05BA-44CC-86B5-DC8BF6155C69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48423350-6110-4B97-AA4E-A6F18A06A122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4-05BA-44CC-86B5-DC8BF6155C69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BEC8017-929A-44B5-8CAA-E8B72729DB98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5-05BA-44CC-86B5-DC8BF6155C69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57FA074D-8815-4F42-A47A-7FB3C9C5FF43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6-05BA-44CC-86B5-DC8BF6155C69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F4F384E3-2569-4E96-AC46-6AAFB4A73C81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05BA-44CC-86B5-DC8BF6155C69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0ECDE4AD-BC88-4A9C-AA64-F2C52FBC81D9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8-05BA-44CC-86B5-DC8BF6155C69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11681D89-25D5-4AB9-9ABA-1D2D4405B3FD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9-05BA-44CC-86B5-DC8BF6155C69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7D902EEE-A4E2-49EB-9127-512DCB94C7D4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A-05BA-44CC-86B5-DC8BF6155C69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52306B1C-3165-48B7-971C-64ECD5F4246E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B-05BA-44CC-86B5-DC8BF6155C69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28BE3630-F945-4B48-B2E9-6F74DBEC98DD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C-05BA-44CC-86B5-DC8BF6155C69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A2485CFE-94F6-4C19-8CAC-AB31D90A09A8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D-05BA-44CC-86B5-DC8BF6155C69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5C0DF657-A062-48E0-991A-7DB7595FFE11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E-05BA-44CC-86B5-DC8BF6155C69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EF00175F-9A51-4BFB-B25A-44480B798E37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F-05BA-44CC-86B5-DC8BF6155C69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FD8498DC-20F8-44AA-9D13-98E76B298E5E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0-05BA-44CC-86B5-DC8BF6155C69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17454926-4C37-4901-82AC-6B7BA6271C42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1-05BA-44CC-86B5-DC8BF6155C69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FEAB55B6-2AF0-4CFD-9108-45B2EC2C931A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2-05BA-44CC-86B5-DC8BF6155C69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E44CE8E8-F217-487F-9A93-4C1D2FBAB434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3-05BA-44CC-86B5-DC8BF6155C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import!$AA$2:$AA$31</c:f>
              <c:numCache>
                <c:formatCode>0.0</c:formatCode>
                <c:ptCount val="30"/>
                <c:pt idx="0">
                  <c:v>37.489578256794751</c:v>
                </c:pt>
                <c:pt idx="1">
                  <c:v>37.573879391320681</c:v>
                </c:pt>
                <c:pt idx="2">
                  <c:v>38.268567273840496</c:v>
                </c:pt>
                <c:pt idx="3">
                  <c:v>38.340578154353409</c:v>
                </c:pt>
                <c:pt idx="4">
                  <c:v>40.954218199688761</c:v>
                </c:pt>
                <c:pt idx="5">
                  <c:v>49.04897979203453</c:v>
                </c:pt>
                <c:pt idx="6">
                  <c:v>39.265285848908434</c:v>
                </c:pt>
                <c:pt idx="7">
                  <c:v>39.198957312531846</c:v>
                </c:pt>
                <c:pt idx="8">
                  <c:v>39.878450372851617</c:v>
                </c:pt>
                <c:pt idx="9">
                  <c:v>50.247226409406096</c:v>
                </c:pt>
                <c:pt idx="10">
                  <c:v>43.931972938540611</c:v>
                </c:pt>
                <c:pt idx="11">
                  <c:v>55.662267616609149</c:v>
                </c:pt>
                <c:pt idx="12">
                  <c:v>49.460950638045304</c:v>
                </c:pt>
                <c:pt idx="13">
                  <c:v>51.857441402198717</c:v>
                </c:pt>
                <c:pt idx="14">
                  <c:v>50.958769873624135</c:v>
                </c:pt>
                <c:pt idx="15">
                  <c:v>55.507182504440493</c:v>
                </c:pt>
                <c:pt idx="16">
                  <c:v>55.765510511347799</c:v>
                </c:pt>
                <c:pt idx="17">
                  <c:v>71.001498047568333</c:v>
                </c:pt>
                <c:pt idx="18">
                  <c:v>64.147113534316858</c:v>
                </c:pt>
                <c:pt idx="19">
                  <c:v>51.075163432073545</c:v>
                </c:pt>
                <c:pt idx="20">
                  <c:v>51.280349725655093</c:v>
                </c:pt>
                <c:pt idx="21">
                  <c:v>52.195777441411352</c:v>
                </c:pt>
                <c:pt idx="22">
                  <c:v>55.003030469695304</c:v>
                </c:pt>
                <c:pt idx="23">
                  <c:v>67.013067077665355</c:v>
                </c:pt>
                <c:pt idx="24">
                  <c:v>114.70248881752494</c:v>
                </c:pt>
                <c:pt idx="25">
                  <c:v>116.46784674507978</c:v>
                </c:pt>
                <c:pt idx="26">
                  <c:v>88.043480940223617</c:v>
                </c:pt>
                <c:pt idx="27">
                  <c:v>89.252110664881741</c:v>
                </c:pt>
                <c:pt idx="28">
                  <c:v>88.285512492275089</c:v>
                </c:pt>
                <c:pt idx="29">
                  <c:v>87.996647602287723</c:v>
                </c:pt>
              </c:numCache>
            </c:numRef>
          </c:xVal>
          <c:yVal>
            <c:numRef>
              <c:f>import!$AE$2:$AE$31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4107966</c:v>
                </c:pt>
                <c:pt idx="7">
                  <c:v>1035966</c:v>
                </c:pt>
                <c:pt idx="8">
                  <c:v>523966</c:v>
                </c:pt>
                <c:pt idx="9">
                  <c:v>267966</c:v>
                </c:pt>
                <c:pt idx="10">
                  <c:v>139966</c:v>
                </c:pt>
                <c:pt idx="11">
                  <c:v>75966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import!$E$2:$E$31</c15:f>
                <c15:dlblRangeCache>
                  <c:ptCount val="30"/>
                  <c:pt idx="0">
                    <c:v>0.02</c:v>
                  </c:pt>
                  <c:pt idx="1">
                    <c:v>0.05</c:v>
                  </c:pt>
                  <c:pt idx="2">
                    <c:v>0.1</c:v>
                  </c:pt>
                  <c:pt idx="3">
                    <c:v>0.2</c:v>
                  </c:pt>
                  <c:pt idx="4">
                    <c:v>0.5</c:v>
                  </c:pt>
                  <c:pt idx="5">
                    <c:v>0.9</c:v>
                  </c:pt>
                  <c:pt idx="6">
                    <c:v>0.02</c:v>
                  </c:pt>
                  <c:pt idx="7">
                    <c:v>0.05</c:v>
                  </c:pt>
                  <c:pt idx="8">
                    <c:v>0.1</c:v>
                  </c:pt>
                  <c:pt idx="9">
                    <c:v>0.2</c:v>
                  </c:pt>
                  <c:pt idx="10">
                    <c:v>0.5</c:v>
                  </c:pt>
                  <c:pt idx="11">
                    <c:v>0.9</c:v>
                  </c:pt>
                  <c:pt idx="12">
                    <c:v>0.02</c:v>
                  </c:pt>
                  <c:pt idx="13">
                    <c:v>0.05</c:v>
                  </c:pt>
                  <c:pt idx="14">
                    <c:v>0.1</c:v>
                  </c:pt>
                  <c:pt idx="15">
                    <c:v>0.2</c:v>
                  </c:pt>
                  <c:pt idx="16">
                    <c:v>0.5</c:v>
                  </c:pt>
                  <c:pt idx="17">
                    <c:v>0.9</c:v>
                  </c:pt>
                  <c:pt idx="18">
                    <c:v>0.02</c:v>
                  </c:pt>
                  <c:pt idx="19">
                    <c:v>0.05</c:v>
                  </c:pt>
                  <c:pt idx="20">
                    <c:v>0.1</c:v>
                  </c:pt>
                  <c:pt idx="21">
                    <c:v>0.2</c:v>
                  </c:pt>
                  <c:pt idx="22">
                    <c:v>0.5</c:v>
                  </c:pt>
                  <c:pt idx="23">
                    <c:v>0.9</c:v>
                  </c:pt>
                  <c:pt idx="24">
                    <c:v>0.02</c:v>
                  </c:pt>
                  <c:pt idx="25">
                    <c:v>0.05</c:v>
                  </c:pt>
                  <c:pt idx="26">
                    <c:v>0.1</c:v>
                  </c:pt>
                  <c:pt idx="27">
                    <c:v>0.2</c:v>
                  </c:pt>
                  <c:pt idx="28">
                    <c:v>0.5</c:v>
                  </c:pt>
                  <c:pt idx="29">
                    <c:v>0.9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4-05BA-44CC-86B5-DC8BF6155C69}"/>
            </c:ext>
          </c:extLst>
        </c:ser>
        <c:ser>
          <c:idx val="2"/>
          <c:order val="2"/>
          <c:tx>
            <c:v>100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27050988-C0C0-401B-A3CB-12190CB70E7D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4-05BA-44CC-86B5-DC8BF6155C6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082DB5E-E470-48CF-9912-97519AE6F953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5-05BA-44CC-86B5-DC8BF6155C6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E4D00A1-5BC2-4864-81A6-34CA0008C900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6-05BA-44CC-86B5-DC8BF6155C6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AE702613-E0E3-41A3-A797-072889269FEA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7-05BA-44CC-86B5-DC8BF6155C6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3D4EFCC0-B347-4CCE-A697-252A56756120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8-05BA-44CC-86B5-DC8BF6155C6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45A278C0-2B85-4046-8552-640E742B4372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9-05BA-44CC-86B5-DC8BF6155C6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8744C4B8-428B-4788-BED6-9F6CD1B25693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A-05BA-44CC-86B5-DC8BF6155C69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59839B1-14B5-4C15-BA12-40498E1D9B49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B-05BA-44CC-86B5-DC8BF6155C69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70AFC3A2-FF65-4F1E-8A37-8772A24F4C32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C-05BA-44CC-86B5-DC8BF6155C69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4E83C598-0BD3-45C4-ACD2-CC9796642ABE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D-05BA-44CC-86B5-DC8BF6155C69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B250C40-9949-4A86-96CA-4DF124BA0B12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E-05BA-44CC-86B5-DC8BF6155C69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1E981FA6-E074-49BB-AEE4-9F22581D3E33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F-05BA-44CC-86B5-DC8BF6155C69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E73DB662-08F6-416D-9662-9D8C20DF838B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0-05BA-44CC-86B5-DC8BF6155C69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70CF59F5-9158-49C6-AA9E-C5B6C4B1DEFA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1-05BA-44CC-86B5-DC8BF6155C69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FA11034F-44B3-48D9-AC44-B9443EAEF204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2-05BA-44CC-86B5-DC8BF6155C69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52986CAA-E21C-4DF9-8DAF-8228841D7CBB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3-05BA-44CC-86B5-DC8BF6155C69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C0B66FC0-0A14-4004-A41F-55BE37300F69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4-05BA-44CC-86B5-DC8BF6155C69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79D6F1E7-F459-4AE3-AC2B-5F9B7FACD671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5-05BA-44CC-86B5-DC8BF6155C69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8788CAD6-A641-47E5-A085-0DF71CCCF7B8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6-05BA-44CC-86B5-DC8BF6155C69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871C5D66-8744-4672-B116-87F1B22D2982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7-05BA-44CC-86B5-DC8BF6155C69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9A6ECE64-9161-42D4-AB41-2C7B2A858F1F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8-05BA-44CC-86B5-DC8BF6155C69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3C4722A0-54A0-4503-8CC7-DA1916D62BA4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9-05BA-44CC-86B5-DC8BF6155C69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FCD974F3-BE4B-4479-B4F9-A272A853FE53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A-05BA-44CC-86B5-DC8BF6155C69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03293889-2354-4420-8ED6-EF97FDD088E0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B-05BA-44CC-86B5-DC8BF6155C69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095500AF-EAD9-49F9-AA30-0F21DF176762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C-05BA-44CC-86B5-DC8BF6155C69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46DC0641-7CD1-462C-90A7-7BBACABDEEC2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D-05BA-44CC-86B5-DC8BF6155C69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EB5227AF-3007-49DD-B4E4-0F2034D8EB47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E-05BA-44CC-86B5-DC8BF6155C69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F31ABCAC-F98B-4B16-84A4-9B5557187E33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F-05BA-44CC-86B5-DC8BF6155C69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B58FBA35-5B27-462D-9BCA-5239B62E2EE4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0-05BA-44CC-86B5-DC8BF6155C69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5DE6EA23-0262-4998-9184-1FB27EFDBED2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1-05BA-44CC-86B5-DC8BF6155C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import!$AA$2:$AA$31</c:f>
              <c:numCache>
                <c:formatCode>0.0</c:formatCode>
                <c:ptCount val="30"/>
                <c:pt idx="0">
                  <c:v>37.489578256794751</c:v>
                </c:pt>
                <c:pt idx="1">
                  <c:v>37.573879391320681</c:v>
                </c:pt>
                <c:pt idx="2">
                  <c:v>38.268567273840496</c:v>
                </c:pt>
                <c:pt idx="3">
                  <c:v>38.340578154353409</c:v>
                </c:pt>
                <c:pt idx="4">
                  <c:v>40.954218199688761</c:v>
                </c:pt>
                <c:pt idx="5">
                  <c:v>49.04897979203453</c:v>
                </c:pt>
                <c:pt idx="6">
                  <c:v>39.265285848908434</c:v>
                </c:pt>
                <c:pt idx="7">
                  <c:v>39.198957312531846</c:v>
                </c:pt>
                <c:pt idx="8">
                  <c:v>39.878450372851617</c:v>
                </c:pt>
                <c:pt idx="9">
                  <c:v>50.247226409406096</c:v>
                </c:pt>
                <c:pt idx="10">
                  <c:v>43.931972938540611</c:v>
                </c:pt>
                <c:pt idx="11">
                  <c:v>55.662267616609149</c:v>
                </c:pt>
                <c:pt idx="12">
                  <c:v>49.460950638045304</c:v>
                </c:pt>
                <c:pt idx="13">
                  <c:v>51.857441402198717</c:v>
                </c:pt>
                <c:pt idx="14">
                  <c:v>50.958769873624135</c:v>
                </c:pt>
                <c:pt idx="15">
                  <c:v>55.507182504440493</c:v>
                </c:pt>
                <c:pt idx="16">
                  <c:v>55.765510511347799</c:v>
                </c:pt>
                <c:pt idx="17">
                  <c:v>71.001498047568333</c:v>
                </c:pt>
                <c:pt idx="18">
                  <c:v>64.147113534316858</c:v>
                </c:pt>
                <c:pt idx="19">
                  <c:v>51.075163432073545</c:v>
                </c:pt>
                <c:pt idx="20">
                  <c:v>51.280349725655093</c:v>
                </c:pt>
                <c:pt idx="21">
                  <c:v>52.195777441411352</c:v>
                </c:pt>
                <c:pt idx="22">
                  <c:v>55.003030469695304</c:v>
                </c:pt>
                <c:pt idx="23">
                  <c:v>67.013067077665355</c:v>
                </c:pt>
                <c:pt idx="24">
                  <c:v>114.70248881752494</c:v>
                </c:pt>
                <c:pt idx="25">
                  <c:v>116.46784674507978</c:v>
                </c:pt>
                <c:pt idx="26">
                  <c:v>88.043480940223617</c:v>
                </c:pt>
                <c:pt idx="27">
                  <c:v>89.252110664881741</c:v>
                </c:pt>
                <c:pt idx="28">
                  <c:v>88.285512492275089</c:v>
                </c:pt>
                <c:pt idx="29">
                  <c:v>87.996647602287723</c:v>
                </c:pt>
              </c:numCache>
            </c:numRef>
          </c:xVal>
          <c:yVal>
            <c:numRef>
              <c:f>import!$AF$2:$AF$31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8203966</c:v>
                </c:pt>
                <c:pt idx="13">
                  <c:v>2059966</c:v>
                </c:pt>
                <c:pt idx="14">
                  <c:v>1035966</c:v>
                </c:pt>
                <c:pt idx="15">
                  <c:v>523966</c:v>
                </c:pt>
                <c:pt idx="16">
                  <c:v>267966</c:v>
                </c:pt>
                <c:pt idx="17">
                  <c:v>139966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import!$E$2:$E$31</c15:f>
                <c15:dlblRangeCache>
                  <c:ptCount val="30"/>
                  <c:pt idx="0">
                    <c:v>0.02</c:v>
                  </c:pt>
                  <c:pt idx="1">
                    <c:v>0.05</c:v>
                  </c:pt>
                  <c:pt idx="2">
                    <c:v>0.1</c:v>
                  </c:pt>
                  <c:pt idx="3">
                    <c:v>0.2</c:v>
                  </c:pt>
                  <c:pt idx="4">
                    <c:v>0.5</c:v>
                  </c:pt>
                  <c:pt idx="5">
                    <c:v>0.9</c:v>
                  </c:pt>
                  <c:pt idx="6">
                    <c:v>0.02</c:v>
                  </c:pt>
                  <c:pt idx="7">
                    <c:v>0.05</c:v>
                  </c:pt>
                  <c:pt idx="8">
                    <c:v>0.1</c:v>
                  </c:pt>
                  <c:pt idx="9">
                    <c:v>0.2</c:v>
                  </c:pt>
                  <c:pt idx="10">
                    <c:v>0.5</c:v>
                  </c:pt>
                  <c:pt idx="11">
                    <c:v>0.9</c:v>
                  </c:pt>
                  <c:pt idx="12">
                    <c:v>0.02</c:v>
                  </c:pt>
                  <c:pt idx="13">
                    <c:v>0.05</c:v>
                  </c:pt>
                  <c:pt idx="14">
                    <c:v>0.1</c:v>
                  </c:pt>
                  <c:pt idx="15">
                    <c:v>0.2</c:v>
                  </c:pt>
                  <c:pt idx="16">
                    <c:v>0.5</c:v>
                  </c:pt>
                  <c:pt idx="17">
                    <c:v>0.9</c:v>
                  </c:pt>
                  <c:pt idx="18">
                    <c:v>0.02</c:v>
                  </c:pt>
                  <c:pt idx="19">
                    <c:v>0.05</c:v>
                  </c:pt>
                  <c:pt idx="20">
                    <c:v>0.1</c:v>
                  </c:pt>
                  <c:pt idx="21">
                    <c:v>0.2</c:v>
                  </c:pt>
                  <c:pt idx="22">
                    <c:v>0.5</c:v>
                  </c:pt>
                  <c:pt idx="23">
                    <c:v>0.9</c:v>
                  </c:pt>
                  <c:pt idx="24">
                    <c:v>0.02</c:v>
                  </c:pt>
                  <c:pt idx="25">
                    <c:v>0.05</c:v>
                  </c:pt>
                  <c:pt idx="26">
                    <c:v>0.1</c:v>
                  </c:pt>
                  <c:pt idx="27">
                    <c:v>0.2</c:v>
                  </c:pt>
                  <c:pt idx="28">
                    <c:v>0.5</c:v>
                  </c:pt>
                  <c:pt idx="29">
                    <c:v>0.9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5-05BA-44CC-86B5-DC8BF6155C69}"/>
            </c:ext>
          </c:extLst>
        </c:ser>
        <c:ser>
          <c:idx val="3"/>
          <c:order val="3"/>
          <c:tx>
            <c:v>200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9036BCC1-DFA9-45FF-AF33-F7F212BDD78E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62-05BA-44CC-86B5-DC8BF6155C6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CB758C9-1251-41D6-9626-41BAE1E3919A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3-05BA-44CC-86B5-DC8BF6155C6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F270AD0-CA18-485B-9C48-4E015E229A96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4-05BA-44CC-86B5-DC8BF6155C6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AB17CE76-9B79-45BA-B5A7-4C3631082D4E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5-05BA-44CC-86B5-DC8BF6155C6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6FD71D2-11B7-4697-9377-BEBD4B3C8F5A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6-05BA-44CC-86B5-DC8BF6155C6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D4E86064-3FD3-4A37-9198-9DAF8A7FB83B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7-05BA-44CC-86B5-DC8BF6155C6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9186AC3B-37C4-4B79-985D-0E2EDB21CF5D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8-05BA-44CC-86B5-DC8BF6155C69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BC540B1F-2836-4386-9651-B9CFE35288B1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9-05BA-44CC-86B5-DC8BF6155C69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79192378-8B47-4330-8A1F-AF9E6001D68F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A-05BA-44CC-86B5-DC8BF6155C69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9A2388B-194D-4607-8B5F-2B73C8E7BE3E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B-05BA-44CC-86B5-DC8BF6155C69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491056CC-3B40-43B3-8780-21616A0ED40D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C-05BA-44CC-86B5-DC8BF6155C69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C62F9143-BA60-4058-9A65-7B05F73C89EC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D-05BA-44CC-86B5-DC8BF6155C69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772F8A10-4A9D-4E30-B8E5-82D3A8DE5800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E-05BA-44CC-86B5-DC8BF6155C69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2936C8E1-4373-4808-9989-8B6148063984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F-05BA-44CC-86B5-DC8BF6155C69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B9A49958-78D6-4DED-AE5C-F5C24D773DD8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0-05BA-44CC-86B5-DC8BF6155C69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07732210-31BC-40C4-ACA1-75CA16F92DCE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1-05BA-44CC-86B5-DC8BF6155C69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AFBA4C5D-BE78-495F-8B1E-905A75C87FE7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2-05BA-44CC-86B5-DC8BF6155C69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7516ED5D-C678-42B0-88B9-C0EADA0550C1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3-05BA-44CC-86B5-DC8BF6155C69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A7A0117A-927C-4AA6-9A03-F9F2999A7906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4-05BA-44CC-86B5-DC8BF6155C69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C290F5A4-5351-4246-9179-1C14EFAE6903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5-05BA-44CC-86B5-DC8BF6155C69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833C3D4B-EADB-4059-944C-3DFBEDC486F5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6-05BA-44CC-86B5-DC8BF6155C69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F289089E-A598-486F-BFF9-922B686FA963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7-05BA-44CC-86B5-DC8BF6155C69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B9F0E11D-8695-48C6-B05A-C28C0C8351E7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8-05BA-44CC-86B5-DC8BF6155C69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1BB43980-C746-41B8-AD18-55794A293820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9-05BA-44CC-86B5-DC8BF6155C69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9765FF83-B578-4030-A7E4-5AFDE84B9D6D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A-05BA-44CC-86B5-DC8BF6155C69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E641EE73-1BF9-43EE-A06B-126EE23106D9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B-05BA-44CC-86B5-DC8BF6155C69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2EA2AE07-780E-4C16-B3DF-DBB3780F2F18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C-05BA-44CC-86B5-DC8BF6155C69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5D77344C-F56B-4C1E-A5CA-0307AA61A5F9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D-05BA-44CC-86B5-DC8BF6155C69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98CB7CAF-49DE-44A2-AFCD-79C436B977B1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E-05BA-44CC-86B5-DC8BF6155C69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6869B87D-ACA1-484B-A69E-D6C08EA760FD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F-05BA-44CC-86B5-DC8BF6155C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4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import!$AA$2:$AA$31</c:f>
              <c:numCache>
                <c:formatCode>0.0</c:formatCode>
                <c:ptCount val="30"/>
                <c:pt idx="0">
                  <c:v>37.489578256794751</c:v>
                </c:pt>
                <c:pt idx="1">
                  <c:v>37.573879391320681</c:v>
                </c:pt>
                <c:pt idx="2">
                  <c:v>38.268567273840496</c:v>
                </c:pt>
                <c:pt idx="3">
                  <c:v>38.340578154353409</c:v>
                </c:pt>
                <c:pt idx="4">
                  <c:v>40.954218199688761</c:v>
                </c:pt>
                <c:pt idx="5">
                  <c:v>49.04897979203453</c:v>
                </c:pt>
                <c:pt idx="6">
                  <c:v>39.265285848908434</c:v>
                </c:pt>
                <c:pt idx="7">
                  <c:v>39.198957312531846</c:v>
                </c:pt>
                <c:pt idx="8">
                  <c:v>39.878450372851617</c:v>
                </c:pt>
                <c:pt idx="9">
                  <c:v>50.247226409406096</c:v>
                </c:pt>
                <c:pt idx="10">
                  <c:v>43.931972938540611</c:v>
                </c:pt>
                <c:pt idx="11">
                  <c:v>55.662267616609149</c:v>
                </c:pt>
                <c:pt idx="12">
                  <c:v>49.460950638045304</c:v>
                </c:pt>
                <c:pt idx="13">
                  <c:v>51.857441402198717</c:v>
                </c:pt>
                <c:pt idx="14">
                  <c:v>50.958769873624135</c:v>
                </c:pt>
                <c:pt idx="15">
                  <c:v>55.507182504440493</c:v>
                </c:pt>
                <c:pt idx="16">
                  <c:v>55.765510511347799</c:v>
                </c:pt>
                <c:pt idx="17">
                  <c:v>71.001498047568333</c:v>
                </c:pt>
                <c:pt idx="18">
                  <c:v>64.147113534316858</c:v>
                </c:pt>
                <c:pt idx="19">
                  <c:v>51.075163432073545</c:v>
                </c:pt>
                <c:pt idx="20">
                  <c:v>51.280349725655093</c:v>
                </c:pt>
                <c:pt idx="21">
                  <c:v>52.195777441411352</c:v>
                </c:pt>
                <c:pt idx="22">
                  <c:v>55.003030469695304</c:v>
                </c:pt>
                <c:pt idx="23">
                  <c:v>67.013067077665355</c:v>
                </c:pt>
                <c:pt idx="24">
                  <c:v>114.70248881752494</c:v>
                </c:pt>
                <c:pt idx="25">
                  <c:v>116.46784674507978</c:v>
                </c:pt>
                <c:pt idx="26">
                  <c:v>88.043480940223617</c:v>
                </c:pt>
                <c:pt idx="27">
                  <c:v>89.252110664881741</c:v>
                </c:pt>
                <c:pt idx="28">
                  <c:v>88.285512492275089</c:v>
                </c:pt>
                <c:pt idx="29">
                  <c:v>87.996647602287723</c:v>
                </c:pt>
              </c:numCache>
            </c:numRef>
          </c:xVal>
          <c:yVal>
            <c:numRef>
              <c:f>import!$AG$2:$AG$31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16395966</c:v>
                </c:pt>
                <c:pt idx="19">
                  <c:v>4107966</c:v>
                </c:pt>
                <c:pt idx="20">
                  <c:v>2059966</c:v>
                </c:pt>
                <c:pt idx="21">
                  <c:v>1035966</c:v>
                </c:pt>
                <c:pt idx="22">
                  <c:v>523966</c:v>
                </c:pt>
                <c:pt idx="23">
                  <c:v>267966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import!$E$2:$E$31</c15:f>
                <c15:dlblRangeCache>
                  <c:ptCount val="30"/>
                  <c:pt idx="0">
                    <c:v>0.02</c:v>
                  </c:pt>
                  <c:pt idx="1">
                    <c:v>0.05</c:v>
                  </c:pt>
                  <c:pt idx="2">
                    <c:v>0.1</c:v>
                  </c:pt>
                  <c:pt idx="3">
                    <c:v>0.2</c:v>
                  </c:pt>
                  <c:pt idx="4">
                    <c:v>0.5</c:v>
                  </c:pt>
                  <c:pt idx="5">
                    <c:v>0.9</c:v>
                  </c:pt>
                  <c:pt idx="6">
                    <c:v>0.02</c:v>
                  </c:pt>
                  <c:pt idx="7">
                    <c:v>0.05</c:v>
                  </c:pt>
                  <c:pt idx="8">
                    <c:v>0.1</c:v>
                  </c:pt>
                  <c:pt idx="9">
                    <c:v>0.2</c:v>
                  </c:pt>
                  <c:pt idx="10">
                    <c:v>0.5</c:v>
                  </c:pt>
                  <c:pt idx="11">
                    <c:v>0.9</c:v>
                  </c:pt>
                  <c:pt idx="12">
                    <c:v>0.02</c:v>
                  </c:pt>
                  <c:pt idx="13">
                    <c:v>0.05</c:v>
                  </c:pt>
                  <c:pt idx="14">
                    <c:v>0.1</c:v>
                  </c:pt>
                  <c:pt idx="15">
                    <c:v>0.2</c:v>
                  </c:pt>
                  <c:pt idx="16">
                    <c:v>0.5</c:v>
                  </c:pt>
                  <c:pt idx="17">
                    <c:v>0.9</c:v>
                  </c:pt>
                  <c:pt idx="18">
                    <c:v>0.02</c:v>
                  </c:pt>
                  <c:pt idx="19">
                    <c:v>0.05</c:v>
                  </c:pt>
                  <c:pt idx="20">
                    <c:v>0.1</c:v>
                  </c:pt>
                  <c:pt idx="21">
                    <c:v>0.2</c:v>
                  </c:pt>
                  <c:pt idx="22">
                    <c:v>0.5</c:v>
                  </c:pt>
                  <c:pt idx="23">
                    <c:v>0.9</c:v>
                  </c:pt>
                  <c:pt idx="24">
                    <c:v>0.02</c:v>
                  </c:pt>
                  <c:pt idx="25">
                    <c:v>0.05</c:v>
                  </c:pt>
                  <c:pt idx="26">
                    <c:v>0.1</c:v>
                  </c:pt>
                  <c:pt idx="27">
                    <c:v>0.2</c:v>
                  </c:pt>
                  <c:pt idx="28">
                    <c:v>0.5</c:v>
                  </c:pt>
                  <c:pt idx="29">
                    <c:v>0.9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6-05BA-44CC-86B5-DC8BF6155C69}"/>
            </c:ext>
          </c:extLst>
        </c:ser>
        <c:ser>
          <c:idx val="4"/>
          <c:order val="4"/>
          <c:tx>
            <c:v>500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C4C0378F-5C8E-4291-A979-1DC7691EF334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80-05BA-44CC-86B5-DC8BF6155C6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C307BD2-5EE9-460D-9AF6-EA1FBFB3C0F0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1-05BA-44CC-86B5-DC8BF6155C6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4810C7E-AA01-4CCE-BDF6-D5DA7E582749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2-05BA-44CC-86B5-DC8BF6155C6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0DCE1FF-30F9-4B17-AA59-3CA7B2D42D8A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3-05BA-44CC-86B5-DC8BF6155C6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7716F29D-2645-42E0-9B72-65D51B142CA7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4-05BA-44CC-86B5-DC8BF6155C6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B778EE09-32BD-40DB-B250-59074DBC2784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5-05BA-44CC-86B5-DC8BF6155C6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223F6A92-CE93-487A-B538-9DDDF9586900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6-05BA-44CC-86B5-DC8BF6155C69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832ED674-762B-4EFE-B7AA-37938BAD787E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7-05BA-44CC-86B5-DC8BF6155C69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C1B7E9F9-15BD-4C77-9482-3C1BF705634E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8-05BA-44CC-86B5-DC8BF6155C69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2E085F43-6A1B-41DC-9607-07D992317987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9-05BA-44CC-86B5-DC8BF6155C69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E3B08374-53A4-4922-B924-F29024B57780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A-05BA-44CC-86B5-DC8BF6155C69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CC6F9ACC-CDC5-4477-B9FA-C3F620178B53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B-05BA-44CC-86B5-DC8BF6155C69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197F4895-76BB-4796-A0F8-0CFCEEFDAEF2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C-05BA-44CC-86B5-DC8BF6155C69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4344E98B-86A2-4EB9-A0F4-F5699E2264CE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D-05BA-44CC-86B5-DC8BF6155C69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1F8E833A-2CFD-4942-B7C2-D10E512A0522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E-05BA-44CC-86B5-DC8BF6155C69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114770D2-2F6E-4942-BD5C-0B95F6C34499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F-05BA-44CC-86B5-DC8BF6155C69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7E6CC2C0-59F3-434D-9A86-A0456FE6439F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0-05BA-44CC-86B5-DC8BF6155C69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A69B4BD9-C7F7-4F8B-8B0C-FB46283CF691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1-05BA-44CC-86B5-DC8BF6155C69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A52588F-E88F-45C2-BE30-648FA7230034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2-05BA-44CC-86B5-DC8BF6155C69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3B38C858-2F72-48B8-8414-D4D065DD0D78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3-05BA-44CC-86B5-DC8BF6155C69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E887494A-7482-4271-A573-1431A31B4E21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4-05BA-44CC-86B5-DC8BF6155C69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3767B92A-8B26-4939-9671-6C3992A59C32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5-05BA-44CC-86B5-DC8BF6155C69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E7A2CA17-7434-4183-8759-04380CB599CB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6-05BA-44CC-86B5-DC8BF6155C69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C3685C3C-C690-4616-94D2-2B9D21D3E955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7-05BA-44CC-86B5-DC8BF6155C69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355CBCC3-34D3-42D6-AF7B-7E577FBD392A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8-05BA-44CC-86B5-DC8BF6155C69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50942559-82D6-4D0E-B893-9CDD5B24EF83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9-05BA-44CC-86B5-DC8BF6155C69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D695C375-274A-4D84-AA6B-3C95CE211019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A-05BA-44CC-86B5-DC8BF6155C69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FAD8F048-989C-45EA-B260-E9190AFDA074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B-05BA-44CC-86B5-DC8BF6155C69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DB56A45B-D8B2-4234-94A2-7D8C390A29C7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C-05BA-44CC-86B5-DC8BF6155C69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8430881D-574C-4B1B-BB00-2FEBADED67D6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D-05BA-44CC-86B5-DC8BF6155C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5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import!$AA$2:$AA$31</c:f>
              <c:numCache>
                <c:formatCode>0.0</c:formatCode>
                <c:ptCount val="30"/>
                <c:pt idx="0">
                  <c:v>37.489578256794751</c:v>
                </c:pt>
                <c:pt idx="1">
                  <c:v>37.573879391320681</c:v>
                </c:pt>
                <c:pt idx="2">
                  <c:v>38.268567273840496</c:v>
                </c:pt>
                <c:pt idx="3">
                  <c:v>38.340578154353409</c:v>
                </c:pt>
                <c:pt idx="4">
                  <c:v>40.954218199688761</c:v>
                </c:pt>
                <c:pt idx="5">
                  <c:v>49.04897979203453</c:v>
                </c:pt>
                <c:pt idx="6">
                  <c:v>39.265285848908434</c:v>
                </c:pt>
                <c:pt idx="7">
                  <c:v>39.198957312531846</c:v>
                </c:pt>
                <c:pt idx="8">
                  <c:v>39.878450372851617</c:v>
                </c:pt>
                <c:pt idx="9">
                  <c:v>50.247226409406096</c:v>
                </c:pt>
                <c:pt idx="10">
                  <c:v>43.931972938540611</c:v>
                </c:pt>
                <c:pt idx="11">
                  <c:v>55.662267616609149</c:v>
                </c:pt>
                <c:pt idx="12">
                  <c:v>49.460950638045304</c:v>
                </c:pt>
                <c:pt idx="13">
                  <c:v>51.857441402198717</c:v>
                </c:pt>
                <c:pt idx="14">
                  <c:v>50.958769873624135</c:v>
                </c:pt>
                <c:pt idx="15">
                  <c:v>55.507182504440493</c:v>
                </c:pt>
                <c:pt idx="16">
                  <c:v>55.765510511347799</c:v>
                </c:pt>
                <c:pt idx="17">
                  <c:v>71.001498047568333</c:v>
                </c:pt>
                <c:pt idx="18">
                  <c:v>64.147113534316858</c:v>
                </c:pt>
                <c:pt idx="19">
                  <c:v>51.075163432073545</c:v>
                </c:pt>
                <c:pt idx="20">
                  <c:v>51.280349725655093</c:v>
                </c:pt>
                <c:pt idx="21">
                  <c:v>52.195777441411352</c:v>
                </c:pt>
                <c:pt idx="22">
                  <c:v>55.003030469695304</c:v>
                </c:pt>
                <c:pt idx="23">
                  <c:v>67.013067077665355</c:v>
                </c:pt>
                <c:pt idx="24">
                  <c:v>114.70248881752494</c:v>
                </c:pt>
                <c:pt idx="25">
                  <c:v>116.46784674507978</c:v>
                </c:pt>
                <c:pt idx="26">
                  <c:v>88.043480940223617</c:v>
                </c:pt>
                <c:pt idx="27">
                  <c:v>89.252110664881741</c:v>
                </c:pt>
                <c:pt idx="28">
                  <c:v>88.285512492275089</c:v>
                </c:pt>
                <c:pt idx="29">
                  <c:v>87.996647602287723</c:v>
                </c:pt>
              </c:numCache>
            </c:numRef>
          </c:xVal>
          <c:yVal>
            <c:numRef>
              <c:f>import!$AH$2:$AH$31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32779966</c:v>
                </c:pt>
                <c:pt idx="25">
                  <c:v>16395966</c:v>
                </c:pt>
                <c:pt idx="26">
                  <c:v>8203966</c:v>
                </c:pt>
                <c:pt idx="27">
                  <c:v>4107966</c:v>
                </c:pt>
                <c:pt idx="28">
                  <c:v>1035966</c:v>
                </c:pt>
                <c:pt idx="29">
                  <c:v>1035966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import!$E$2:$E$31</c15:f>
                <c15:dlblRangeCache>
                  <c:ptCount val="30"/>
                  <c:pt idx="0">
                    <c:v>0.02</c:v>
                  </c:pt>
                  <c:pt idx="1">
                    <c:v>0.05</c:v>
                  </c:pt>
                  <c:pt idx="2">
                    <c:v>0.1</c:v>
                  </c:pt>
                  <c:pt idx="3">
                    <c:v>0.2</c:v>
                  </c:pt>
                  <c:pt idx="4">
                    <c:v>0.5</c:v>
                  </c:pt>
                  <c:pt idx="5">
                    <c:v>0.9</c:v>
                  </c:pt>
                  <c:pt idx="6">
                    <c:v>0.02</c:v>
                  </c:pt>
                  <c:pt idx="7">
                    <c:v>0.05</c:v>
                  </c:pt>
                  <c:pt idx="8">
                    <c:v>0.1</c:v>
                  </c:pt>
                  <c:pt idx="9">
                    <c:v>0.2</c:v>
                  </c:pt>
                  <c:pt idx="10">
                    <c:v>0.5</c:v>
                  </c:pt>
                  <c:pt idx="11">
                    <c:v>0.9</c:v>
                  </c:pt>
                  <c:pt idx="12">
                    <c:v>0.02</c:v>
                  </c:pt>
                  <c:pt idx="13">
                    <c:v>0.05</c:v>
                  </c:pt>
                  <c:pt idx="14">
                    <c:v>0.1</c:v>
                  </c:pt>
                  <c:pt idx="15">
                    <c:v>0.2</c:v>
                  </c:pt>
                  <c:pt idx="16">
                    <c:v>0.5</c:v>
                  </c:pt>
                  <c:pt idx="17">
                    <c:v>0.9</c:v>
                  </c:pt>
                  <c:pt idx="18">
                    <c:v>0.02</c:v>
                  </c:pt>
                  <c:pt idx="19">
                    <c:v>0.05</c:v>
                  </c:pt>
                  <c:pt idx="20">
                    <c:v>0.1</c:v>
                  </c:pt>
                  <c:pt idx="21">
                    <c:v>0.2</c:v>
                  </c:pt>
                  <c:pt idx="22">
                    <c:v>0.5</c:v>
                  </c:pt>
                  <c:pt idx="23">
                    <c:v>0.9</c:v>
                  </c:pt>
                  <c:pt idx="24">
                    <c:v>0.02</c:v>
                  </c:pt>
                  <c:pt idx="25">
                    <c:v>0.05</c:v>
                  </c:pt>
                  <c:pt idx="26">
                    <c:v>0.1</c:v>
                  </c:pt>
                  <c:pt idx="27">
                    <c:v>0.2</c:v>
                  </c:pt>
                  <c:pt idx="28">
                    <c:v>0.5</c:v>
                  </c:pt>
                  <c:pt idx="29">
                    <c:v>0.9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05BA-44CC-86B5-DC8BF6155C69}"/>
            </c:ext>
          </c:extLst>
        </c:ser>
        <c:dLbls>
          <c:dLblPos val="l"/>
          <c:showLegendKey val="0"/>
          <c:showVal val="1"/>
          <c:showCatName val="0"/>
          <c:showSerName val="0"/>
          <c:showPercent val="0"/>
          <c:showBubbleSize val="0"/>
        </c:dLbls>
        <c:axId val="1104004040"/>
        <c:axId val="1104009288"/>
      </c:scatterChart>
      <c:valAx>
        <c:axId val="1104004040"/>
        <c:scaling>
          <c:logBase val="2"/>
          <c:orientation val="minMax"/>
          <c:min val="3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(ns, lower is better)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009288"/>
        <c:crosses val="autoZero"/>
        <c:crossBetween val="midCat"/>
      </c:valAx>
      <c:valAx>
        <c:axId val="1104009288"/>
        <c:scaling>
          <c:logBase val="2"/>
          <c:orientation val="minMax"/>
          <c:min val="3267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Space Used (byte, lower is better)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0040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20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11F0B23B-6B94-490D-AB0D-64D40E113888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CBAB-4ECD-823E-82BBD2EBBC6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41303B-425C-4C93-B1B1-07422766A5F4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CBAB-4ECD-823E-82BBD2EBBC6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34EA679-A6B6-4F90-BA24-C383440FD456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CBAB-4ECD-823E-82BBD2EBBC6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8F9CB6B1-4F4F-47CA-8B08-1F547E405CDA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CBAB-4ECD-823E-82BBD2EBBC6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DC048871-9DE5-4A44-853D-A93050781472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CBAB-4ECD-823E-82BBD2EBBC6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01DF982-1439-4128-9C47-487836155FB3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CBAB-4ECD-823E-82BBD2EBBC65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7C94A8C9-A94F-49CE-A655-93CF9F0366FB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CBAB-4ECD-823E-82BBD2EBBC65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D5A7BC0C-7A4B-4AE5-81BA-C0B4BE854B47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CBAB-4ECD-823E-82BBD2EBBC65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79552100-1133-4D5B-A08B-4DD5B4F449AD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CBAB-4ECD-823E-82BBD2EBBC65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926C23C3-93A0-4E36-9B2E-D154769950A8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CBAB-4ECD-823E-82BBD2EBBC65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1F247E71-9B95-482C-9FBD-0C86F0825B19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CBAB-4ECD-823E-82BBD2EBBC65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0ED78A80-35BB-43A8-B352-62F7077A3CF0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CBAB-4ECD-823E-82BBD2EBBC65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B4384DBC-A6D3-45DA-8D11-2AFDA0ECDBB5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CBAB-4ECD-823E-82BBD2EBBC65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800291C4-2473-4F50-A3F7-E8D16A455573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CBAB-4ECD-823E-82BBD2EBBC65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EF5ACEB5-8ED8-40FE-9A63-4233F0A6E382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CBAB-4ECD-823E-82BBD2EBBC65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EF310D36-FE36-48E4-AEF8-9A5910A17510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CBAB-4ECD-823E-82BBD2EBBC65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EBCF5204-77FF-4C92-A0A9-96E69D36C01B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CBAB-4ECD-823E-82BBD2EBBC65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F48C31A4-51D4-4453-9832-909181B41ED0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CBAB-4ECD-823E-82BBD2EBBC65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D0D6FA34-44F1-42BE-B0E8-D3F1C926FB8D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CBAB-4ECD-823E-82BBD2EBBC65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B8463A2F-DC61-4833-9BE9-34F18ECACE52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CBAB-4ECD-823E-82BBD2EBBC65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254A2196-F09C-4078-96DA-DB4EB5D02A74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CBAB-4ECD-823E-82BBD2EBBC65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CF36086E-1141-4E4F-AEBA-F48990342299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CBAB-4ECD-823E-82BBD2EBBC65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36A8C5AB-1742-4E23-A55A-9E2DE72C9526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CBAB-4ECD-823E-82BBD2EBBC65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3B31DE2-0FB2-43BC-B288-F55AE0D1E727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CBAB-4ECD-823E-82BBD2EBBC65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08A40F10-B4BA-4FA0-A701-25AAE2746D30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CBAB-4ECD-823E-82BBD2EBBC65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3A017F4F-80B5-41BD-B986-8C43C70B0672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CBAB-4ECD-823E-82BBD2EBBC65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5D1FDA94-BB46-49F4-A27C-4E5914966937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CBAB-4ECD-823E-82BBD2EBBC65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F2CD52CB-23EE-40A0-90A9-4D10A8832069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CBAB-4ECD-823E-82BBD2EBBC65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947CCE1A-FFEF-41A0-A415-E7EC0B031C08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CBAB-4ECD-823E-82BBD2EBBC65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34CB7EED-7A93-467E-9C09-E8C3F1D45160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CBAB-4ECD-823E-82BBD2EBBC65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E29DEF95-6D64-4F1D-9FC9-6A108ED74584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C-CBAB-4ECD-823E-82BBD2EBBC65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D-CBAB-4ECD-823E-82BBD2EBBC65}"/>
                </c:ext>
              </c:extLst>
            </c:dLbl>
            <c:numFmt formatCode="#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'import-pieced'!$AA$2:$AA$33</c:f>
              <c:numCache>
                <c:formatCode>0.0</c:formatCode>
                <c:ptCount val="32"/>
                <c:pt idx="0">
                  <c:v>37.489578256794751</c:v>
                </c:pt>
                <c:pt idx="1">
                  <c:v>37.573879391320681</c:v>
                </c:pt>
                <c:pt idx="2">
                  <c:v>38.268567273840496</c:v>
                </c:pt>
                <c:pt idx="3">
                  <c:v>38.340578154353409</c:v>
                </c:pt>
                <c:pt idx="4">
                  <c:v>40.954218199688761</c:v>
                </c:pt>
                <c:pt idx="5">
                  <c:v>49.04897979203453</c:v>
                </c:pt>
                <c:pt idx="6">
                  <c:v>39.265285848908434</c:v>
                </c:pt>
                <c:pt idx="7">
                  <c:v>39.198957312531846</c:v>
                </c:pt>
                <c:pt idx="8">
                  <c:v>39.878450372851617</c:v>
                </c:pt>
                <c:pt idx="9">
                  <c:v>41.494618257261415</c:v>
                </c:pt>
                <c:pt idx="10">
                  <c:v>43.931972938540611</c:v>
                </c:pt>
                <c:pt idx="11">
                  <c:v>55.662267616609149</c:v>
                </c:pt>
                <c:pt idx="12">
                  <c:v>52.865378515542396</c:v>
                </c:pt>
                <c:pt idx="13">
                  <c:v>51.984139938659872</c:v>
                </c:pt>
                <c:pt idx="14">
                  <c:v>49.913396556026953</c:v>
                </c:pt>
                <c:pt idx="15">
                  <c:v>52.774151670272836</c:v>
                </c:pt>
                <c:pt idx="16">
                  <c:v>56.242219222765875</c:v>
                </c:pt>
                <c:pt idx="17">
                  <c:v>68.793843296416043</c:v>
                </c:pt>
                <c:pt idx="18">
                  <c:v>0</c:v>
                </c:pt>
                <c:pt idx="19">
                  <c:v>60.477243589743594</c:v>
                </c:pt>
                <c:pt idx="20">
                  <c:v>60.34748053828978</c:v>
                </c:pt>
                <c:pt idx="21">
                  <c:v>62.271554891338198</c:v>
                </c:pt>
                <c:pt idx="22">
                  <c:v>66.308520090173715</c:v>
                </c:pt>
                <c:pt idx="23">
                  <c:v>77.026573211122241</c:v>
                </c:pt>
                <c:pt idx="24">
                  <c:v>0</c:v>
                </c:pt>
                <c:pt idx="25">
                  <c:v>0</c:v>
                </c:pt>
                <c:pt idx="26">
                  <c:v>88.401476177848494</c:v>
                </c:pt>
                <c:pt idx="27">
                  <c:v>89.789001616089053</c:v>
                </c:pt>
                <c:pt idx="28">
                  <c:v>85.821925684373113</c:v>
                </c:pt>
                <c:pt idx="29">
                  <c:v>88.866080156402731</c:v>
                </c:pt>
                <c:pt idx="30">
                  <c:v>120.10110483967817</c:v>
                </c:pt>
                <c:pt idx="31">
                  <c:v>0</c:v>
                </c:pt>
              </c:numCache>
            </c:numRef>
          </c:xVal>
          <c:yVal>
            <c:numRef>
              <c:f>'import-pieced'!$AD$2:$AD$33</c:f>
              <c:numCache>
                <c:formatCode>General</c:formatCode>
                <c:ptCount val="32"/>
                <c:pt idx="0">
                  <c:v>1035966</c:v>
                </c:pt>
                <c:pt idx="1">
                  <c:v>523966</c:v>
                </c:pt>
                <c:pt idx="2">
                  <c:v>267966</c:v>
                </c:pt>
                <c:pt idx="3">
                  <c:v>139966</c:v>
                </c:pt>
                <c:pt idx="4">
                  <c:v>75966</c:v>
                </c:pt>
                <c:pt idx="5">
                  <c:v>43966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'import-pieced'!$E$2:$E$32</c15:f>
                <c15:dlblRangeCache>
                  <c:ptCount val="31"/>
                  <c:pt idx="0">
                    <c:v>0.02</c:v>
                  </c:pt>
                  <c:pt idx="1">
                    <c:v>0.05</c:v>
                  </c:pt>
                  <c:pt idx="2">
                    <c:v>0.1</c:v>
                  </c:pt>
                  <c:pt idx="3">
                    <c:v>0.2</c:v>
                  </c:pt>
                  <c:pt idx="4">
                    <c:v>0.5</c:v>
                  </c:pt>
                  <c:pt idx="5">
                    <c:v>0.9</c:v>
                  </c:pt>
                  <c:pt idx="6">
                    <c:v>0.02</c:v>
                  </c:pt>
                  <c:pt idx="7">
                    <c:v>0.05</c:v>
                  </c:pt>
                  <c:pt idx="8">
                    <c:v>0.1</c:v>
                  </c:pt>
                  <c:pt idx="9">
                    <c:v>0.2</c:v>
                  </c:pt>
                  <c:pt idx="10">
                    <c:v>0.5</c:v>
                  </c:pt>
                  <c:pt idx="11">
                    <c:v>0.9</c:v>
                  </c:pt>
                  <c:pt idx="12">
                    <c:v>0.02</c:v>
                  </c:pt>
                  <c:pt idx="13">
                    <c:v>0.05</c:v>
                  </c:pt>
                  <c:pt idx="14">
                    <c:v>0.1</c:v>
                  </c:pt>
                  <c:pt idx="15">
                    <c:v>0.2</c:v>
                  </c:pt>
                  <c:pt idx="16">
                    <c:v>0.5</c:v>
                  </c:pt>
                  <c:pt idx="17">
                    <c:v>0.9</c:v>
                  </c:pt>
                  <c:pt idx="18">
                    <c:v>0.02</c:v>
                  </c:pt>
                  <c:pt idx="19">
                    <c:v>0.05</c:v>
                  </c:pt>
                  <c:pt idx="20">
                    <c:v>0.1</c:v>
                  </c:pt>
                  <c:pt idx="21">
                    <c:v>0.2</c:v>
                  </c:pt>
                  <c:pt idx="22">
                    <c:v>0.5</c:v>
                  </c:pt>
                  <c:pt idx="23">
                    <c:v>0.9</c:v>
                  </c:pt>
                  <c:pt idx="24">
                    <c:v>0.02</c:v>
                  </c:pt>
                  <c:pt idx="25">
                    <c:v>0.05</c:v>
                  </c:pt>
                  <c:pt idx="26">
                    <c:v>0.1</c:v>
                  </c:pt>
                  <c:pt idx="27">
                    <c:v>0.2</c:v>
                  </c:pt>
                  <c:pt idx="28">
                    <c:v>0.3</c:v>
                  </c:pt>
                  <c:pt idx="29">
                    <c:v>0.5</c:v>
                  </c:pt>
                  <c:pt idx="30">
                    <c:v>0.99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E-CBAB-4ECD-823E-82BBD2EBBC65}"/>
            </c:ext>
          </c:extLst>
        </c:ser>
        <c:ser>
          <c:idx val="1"/>
          <c:order val="1"/>
          <c:tx>
            <c:v>50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0074F55-4984-4867-A2A6-6BBE62700F88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CBAB-4ECD-823E-82BBD2EBBC6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FD646A6-643C-40A4-AC2E-19047039C479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CBAB-4ECD-823E-82BBD2EBBC6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27E4767-75B1-4653-9802-DE6382B00F59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CBAB-4ECD-823E-82BBD2EBBC6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986E52E9-CAE8-43AF-97E6-629BFE3E2D40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CBAB-4ECD-823E-82BBD2EBBC6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248EF410-F85E-4770-965D-FA46B763EDE8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CBAB-4ECD-823E-82BBD2EBBC6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B3D4A5-F812-419C-8274-B0F22C7A9A55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CBAB-4ECD-823E-82BBD2EBBC65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20C30D72-B2F3-44C9-AF18-0E60629826EE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CBAB-4ECD-823E-82BBD2EBBC65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B471AC4F-E7DC-4AA3-B94D-58F0920EA862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CBAB-4ECD-823E-82BBD2EBBC65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B867E898-2FA7-471D-9D2F-F1B25DE39B00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CBAB-4ECD-823E-82BBD2EBBC65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976800F1-E77A-4793-BCFB-20EA87A761FF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CBAB-4ECD-823E-82BBD2EBBC65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D0DD1ED9-BD15-49B1-B8AF-469B200567BF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CBAB-4ECD-823E-82BBD2EBBC65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4E3FC25C-3F3A-4A54-8E91-7429F7B44B86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CBAB-4ECD-823E-82BBD2EBBC65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BED73807-018E-40F7-BA7B-C0B215116477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CBAB-4ECD-823E-82BBD2EBBC65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BC0AE3B2-9D11-4326-9127-A87BFB0E473F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CBAB-4ECD-823E-82BBD2EBBC65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3FF7A771-78D5-4F9D-B28B-F7F94961034B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CBAB-4ECD-823E-82BBD2EBBC65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5ED73E9D-6B50-48D5-92FF-830B643EC4DD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CBAB-4ECD-823E-82BBD2EBBC65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D404803D-91C6-4C40-8A77-1DBEC79F03FA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CBAB-4ECD-823E-82BBD2EBBC65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DABFCC56-60C8-4FD6-91DA-4D68BDF372D5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CBAB-4ECD-823E-82BBD2EBBC65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C71D7A8E-E0CC-4FA9-B06D-621857D40202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CBAB-4ECD-823E-82BBD2EBBC65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9CDA5EB2-2FF7-493B-BAA0-0A5C832ED4B0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2-CBAB-4ECD-823E-82BBD2EBBC65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84E6E728-E946-40B1-B0C4-2C878A34E9CB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CBAB-4ECD-823E-82BBD2EBBC65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0F027209-6277-4E35-8085-C1F91B84C994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4-CBAB-4ECD-823E-82BBD2EBBC65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5AC6D054-3AE7-4A7E-A953-B0F48C1CFB30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5-CBAB-4ECD-823E-82BBD2EBBC65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8A7B8CC5-0CAF-4863-93CA-8982FA166023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6-CBAB-4ECD-823E-82BBD2EBBC65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52C68D54-7854-4C61-89B9-CC436CBDCAA1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CBAB-4ECD-823E-82BBD2EBBC65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C903F5A2-CCDC-4208-86D0-293EC18254AF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8-CBAB-4ECD-823E-82BBD2EBBC65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B7E3A5F-9807-4FC0-A3EA-E691612E511A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9-CBAB-4ECD-823E-82BBD2EBBC65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40944EE0-42B9-41DA-B2FE-CB1D4F9E1F2F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A-CBAB-4ECD-823E-82BBD2EBBC65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FBCE68A9-A702-473D-9F88-0243BCBF8E0E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B-CBAB-4ECD-823E-82BBD2EBBC65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64E89B4-BD0C-4386-8E21-99AB0C28925C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C-CBAB-4ECD-823E-82BBD2EBBC65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C2E4F287-FE29-4C57-8C4B-030C0C759223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E-CBAB-4ECD-823E-82BBD2EBBC65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F-CBAB-4ECD-823E-82BBD2EBBC6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'import-pieced'!$AA$2:$AA$33</c:f>
              <c:numCache>
                <c:formatCode>0.0</c:formatCode>
                <c:ptCount val="32"/>
                <c:pt idx="0">
                  <c:v>37.489578256794751</c:v>
                </c:pt>
                <c:pt idx="1">
                  <c:v>37.573879391320681</c:v>
                </c:pt>
                <c:pt idx="2">
                  <c:v>38.268567273840496</c:v>
                </c:pt>
                <c:pt idx="3">
                  <c:v>38.340578154353409</c:v>
                </c:pt>
                <c:pt idx="4">
                  <c:v>40.954218199688761</c:v>
                </c:pt>
                <c:pt idx="5">
                  <c:v>49.04897979203453</c:v>
                </c:pt>
                <c:pt idx="6">
                  <c:v>39.265285848908434</c:v>
                </c:pt>
                <c:pt idx="7">
                  <c:v>39.198957312531846</c:v>
                </c:pt>
                <c:pt idx="8">
                  <c:v>39.878450372851617</c:v>
                </c:pt>
                <c:pt idx="9">
                  <c:v>41.494618257261415</c:v>
                </c:pt>
                <c:pt idx="10">
                  <c:v>43.931972938540611</c:v>
                </c:pt>
                <c:pt idx="11">
                  <c:v>55.662267616609149</c:v>
                </c:pt>
                <c:pt idx="12">
                  <c:v>52.865378515542396</c:v>
                </c:pt>
                <c:pt idx="13">
                  <c:v>51.984139938659872</c:v>
                </c:pt>
                <c:pt idx="14">
                  <c:v>49.913396556026953</c:v>
                </c:pt>
                <c:pt idx="15">
                  <c:v>52.774151670272836</c:v>
                </c:pt>
                <c:pt idx="16">
                  <c:v>56.242219222765875</c:v>
                </c:pt>
                <c:pt idx="17">
                  <c:v>68.793843296416043</c:v>
                </c:pt>
                <c:pt idx="18">
                  <c:v>0</c:v>
                </c:pt>
                <c:pt idx="19">
                  <c:v>60.477243589743594</c:v>
                </c:pt>
                <c:pt idx="20">
                  <c:v>60.34748053828978</c:v>
                </c:pt>
                <c:pt idx="21">
                  <c:v>62.271554891338198</c:v>
                </c:pt>
                <c:pt idx="22">
                  <c:v>66.308520090173715</c:v>
                </c:pt>
                <c:pt idx="23">
                  <c:v>77.026573211122241</c:v>
                </c:pt>
                <c:pt idx="24">
                  <c:v>0</c:v>
                </c:pt>
                <c:pt idx="25">
                  <c:v>0</c:v>
                </c:pt>
                <c:pt idx="26">
                  <c:v>88.401476177848494</c:v>
                </c:pt>
                <c:pt idx="27">
                  <c:v>89.789001616089053</c:v>
                </c:pt>
                <c:pt idx="28">
                  <c:v>85.821925684373113</c:v>
                </c:pt>
                <c:pt idx="29">
                  <c:v>88.866080156402731</c:v>
                </c:pt>
                <c:pt idx="30">
                  <c:v>120.10110483967817</c:v>
                </c:pt>
                <c:pt idx="31">
                  <c:v>0</c:v>
                </c:pt>
              </c:numCache>
            </c:numRef>
          </c:xVal>
          <c:yVal>
            <c:numRef>
              <c:f>'import-pieced'!$AE$2:$AE$33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4107966</c:v>
                </c:pt>
                <c:pt idx="7">
                  <c:v>1035966</c:v>
                </c:pt>
                <c:pt idx="8">
                  <c:v>523966</c:v>
                </c:pt>
                <c:pt idx="9">
                  <c:v>267966</c:v>
                </c:pt>
                <c:pt idx="10">
                  <c:v>139966</c:v>
                </c:pt>
                <c:pt idx="11">
                  <c:v>75966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'import-pieced'!$E$2:$E$32</c15:f>
                <c15:dlblRangeCache>
                  <c:ptCount val="31"/>
                  <c:pt idx="0">
                    <c:v>0.02</c:v>
                  </c:pt>
                  <c:pt idx="1">
                    <c:v>0.05</c:v>
                  </c:pt>
                  <c:pt idx="2">
                    <c:v>0.1</c:v>
                  </c:pt>
                  <c:pt idx="3">
                    <c:v>0.2</c:v>
                  </c:pt>
                  <c:pt idx="4">
                    <c:v>0.5</c:v>
                  </c:pt>
                  <c:pt idx="5">
                    <c:v>0.9</c:v>
                  </c:pt>
                  <c:pt idx="6">
                    <c:v>0.02</c:v>
                  </c:pt>
                  <c:pt idx="7">
                    <c:v>0.05</c:v>
                  </c:pt>
                  <c:pt idx="8">
                    <c:v>0.1</c:v>
                  </c:pt>
                  <c:pt idx="9">
                    <c:v>0.2</c:v>
                  </c:pt>
                  <c:pt idx="10">
                    <c:v>0.5</c:v>
                  </c:pt>
                  <c:pt idx="11">
                    <c:v>0.9</c:v>
                  </c:pt>
                  <c:pt idx="12">
                    <c:v>0.02</c:v>
                  </c:pt>
                  <c:pt idx="13">
                    <c:v>0.05</c:v>
                  </c:pt>
                  <c:pt idx="14">
                    <c:v>0.1</c:v>
                  </c:pt>
                  <c:pt idx="15">
                    <c:v>0.2</c:v>
                  </c:pt>
                  <c:pt idx="16">
                    <c:v>0.5</c:v>
                  </c:pt>
                  <c:pt idx="17">
                    <c:v>0.9</c:v>
                  </c:pt>
                  <c:pt idx="18">
                    <c:v>0.02</c:v>
                  </c:pt>
                  <c:pt idx="19">
                    <c:v>0.05</c:v>
                  </c:pt>
                  <c:pt idx="20">
                    <c:v>0.1</c:v>
                  </c:pt>
                  <c:pt idx="21">
                    <c:v>0.2</c:v>
                  </c:pt>
                  <c:pt idx="22">
                    <c:v>0.5</c:v>
                  </c:pt>
                  <c:pt idx="23">
                    <c:v>0.9</c:v>
                  </c:pt>
                  <c:pt idx="24">
                    <c:v>0.02</c:v>
                  </c:pt>
                  <c:pt idx="25">
                    <c:v>0.05</c:v>
                  </c:pt>
                  <c:pt idx="26">
                    <c:v>0.1</c:v>
                  </c:pt>
                  <c:pt idx="27">
                    <c:v>0.2</c:v>
                  </c:pt>
                  <c:pt idx="28">
                    <c:v>0.3</c:v>
                  </c:pt>
                  <c:pt idx="29">
                    <c:v>0.5</c:v>
                  </c:pt>
                  <c:pt idx="30">
                    <c:v>0.99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D-CBAB-4ECD-823E-82BBD2EBBC65}"/>
            </c:ext>
          </c:extLst>
        </c:ser>
        <c:ser>
          <c:idx val="2"/>
          <c:order val="2"/>
          <c:tx>
            <c:v>100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25953EE5-0DCD-417D-AF7B-C5C4A9449C92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CBAB-4ECD-823E-82BBD2EBBC6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7E1C5C2-BE37-498E-91D8-CBB686BD0F8C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F-CBAB-4ECD-823E-82BBD2EBBC6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21FCDFCF-EC31-4D94-9482-93E399629E53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0-CBAB-4ECD-823E-82BBD2EBBC6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D2FDD18C-EF8A-4403-8001-D2B2B181C1C0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1-CBAB-4ECD-823E-82BBD2EBBC6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D5A6D52-7BE8-4F88-AC8F-E6F7F6A1D60D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2-CBAB-4ECD-823E-82BBD2EBBC6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ACC6EBDE-B319-4749-92B5-6105EFB2C842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3-CBAB-4ECD-823E-82BBD2EBBC65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ABD2B546-8751-4368-A455-515383ADC79D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4-CBAB-4ECD-823E-82BBD2EBBC65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905DA7CF-6648-4D83-B331-20436C17BC57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5-CBAB-4ECD-823E-82BBD2EBBC65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4273ECF-4104-4A62-81E9-280FE952FC70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6-CBAB-4ECD-823E-82BBD2EBBC65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D24AF6B5-F145-4683-BEE3-845699AE2E8D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7-CBAB-4ECD-823E-82BBD2EBBC65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CEB20576-F887-4985-903E-81D195EF905E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8-CBAB-4ECD-823E-82BBD2EBBC65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8718FE2A-384F-4118-B709-788DBA86E506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9-CBAB-4ECD-823E-82BBD2EBBC65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D703B794-200A-452C-9B3A-3F3292D59C0C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A-CBAB-4ECD-823E-82BBD2EBBC65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4AD0A83D-CFD3-487D-B926-0525C3EAEB23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B-CBAB-4ECD-823E-82BBD2EBBC65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75B76EAF-4655-4BB3-B2EF-6EAB378C632E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C-CBAB-4ECD-823E-82BBD2EBBC65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42178198-B46D-4847-9CCD-85E66D80239C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D-CBAB-4ECD-823E-82BBD2EBBC65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6E7685C4-E8FC-4101-91C2-EE1ACEE66707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E-CBAB-4ECD-823E-82BBD2EBBC65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90294F11-8BA2-4CD2-A116-6C5740F107B6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F-CBAB-4ECD-823E-82BBD2EBBC65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5B53F714-66F6-4D3C-A5FF-300B649C665A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0-CBAB-4ECD-823E-82BBD2EBBC65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377D72-A703-4052-9549-7BDE7DC68213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1-CBAB-4ECD-823E-82BBD2EBBC65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C473936E-8DB3-49B4-BD1E-47A1F2AD0132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2-CBAB-4ECD-823E-82BBD2EBBC65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4496FF9F-F0B9-4E90-B603-406A1038F1A4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3-CBAB-4ECD-823E-82BBD2EBBC65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D3D8484F-1193-4C69-9250-F4AD1696A7A9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4-CBAB-4ECD-823E-82BBD2EBBC65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76C3DDC7-1493-4959-A6A8-C2A7C9F076E2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5-CBAB-4ECD-823E-82BBD2EBBC65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1B6D3472-9EBF-457E-979C-324E32944541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6-CBAB-4ECD-823E-82BBD2EBBC65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2AF54145-AA6A-47B6-BACB-292E7D0CD501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7-CBAB-4ECD-823E-82BBD2EBBC65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797BDCBB-03DD-444A-896B-BFCEC5FE7635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8-CBAB-4ECD-823E-82BBD2EBBC65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883B9F39-48D9-49B1-8716-6FA676D283B4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9-CBAB-4ECD-823E-82BBD2EBBC65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19331BB6-84B0-421E-9313-64EEC2517471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A-CBAB-4ECD-823E-82BBD2EBBC65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3071E746-E001-47E1-BDC4-FC3F68A3292B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B-CBAB-4ECD-823E-82BBD2EBBC65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BE56D21A-9271-42DE-9DB6-4A890702C823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0-CBAB-4ECD-823E-82BBD2EBBC65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1-CBAB-4ECD-823E-82BBD2EBBC6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'import-pieced'!$AA$2:$AA$33</c:f>
              <c:numCache>
                <c:formatCode>0.0</c:formatCode>
                <c:ptCount val="32"/>
                <c:pt idx="0">
                  <c:v>37.489578256794751</c:v>
                </c:pt>
                <c:pt idx="1">
                  <c:v>37.573879391320681</c:v>
                </c:pt>
                <c:pt idx="2">
                  <c:v>38.268567273840496</c:v>
                </c:pt>
                <c:pt idx="3">
                  <c:v>38.340578154353409</c:v>
                </c:pt>
                <c:pt idx="4">
                  <c:v>40.954218199688761</c:v>
                </c:pt>
                <c:pt idx="5">
                  <c:v>49.04897979203453</c:v>
                </c:pt>
                <c:pt idx="6">
                  <c:v>39.265285848908434</c:v>
                </c:pt>
                <c:pt idx="7">
                  <c:v>39.198957312531846</c:v>
                </c:pt>
                <c:pt idx="8">
                  <c:v>39.878450372851617</c:v>
                </c:pt>
                <c:pt idx="9">
                  <c:v>41.494618257261415</c:v>
                </c:pt>
                <c:pt idx="10">
                  <c:v>43.931972938540611</c:v>
                </c:pt>
                <c:pt idx="11">
                  <c:v>55.662267616609149</c:v>
                </c:pt>
                <c:pt idx="12">
                  <c:v>52.865378515542396</c:v>
                </c:pt>
                <c:pt idx="13">
                  <c:v>51.984139938659872</c:v>
                </c:pt>
                <c:pt idx="14">
                  <c:v>49.913396556026953</c:v>
                </c:pt>
                <c:pt idx="15">
                  <c:v>52.774151670272836</c:v>
                </c:pt>
                <c:pt idx="16">
                  <c:v>56.242219222765875</c:v>
                </c:pt>
                <c:pt idx="17">
                  <c:v>68.793843296416043</c:v>
                </c:pt>
                <c:pt idx="18">
                  <c:v>0</c:v>
                </c:pt>
                <c:pt idx="19">
                  <c:v>60.477243589743594</c:v>
                </c:pt>
                <c:pt idx="20">
                  <c:v>60.34748053828978</c:v>
                </c:pt>
                <c:pt idx="21">
                  <c:v>62.271554891338198</c:v>
                </c:pt>
                <c:pt idx="22">
                  <c:v>66.308520090173715</c:v>
                </c:pt>
                <c:pt idx="23">
                  <c:v>77.026573211122241</c:v>
                </c:pt>
                <c:pt idx="24">
                  <c:v>0</c:v>
                </c:pt>
                <c:pt idx="25">
                  <c:v>0</c:v>
                </c:pt>
                <c:pt idx="26">
                  <c:v>88.401476177848494</c:v>
                </c:pt>
                <c:pt idx="27">
                  <c:v>89.789001616089053</c:v>
                </c:pt>
                <c:pt idx="28">
                  <c:v>85.821925684373113</c:v>
                </c:pt>
                <c:pt idx="29">
                  <c:v>88.866080156402731</c:v>
                </c:pt>
                <c:pt idx="30">
                  <c:v>120.10110483967817</c:v>
                </c:pt>
                <c:pt idx="31">
                  <c:v>0</c:v>
                </c:pt>
              </c:numCache>
            </c:numRef>
          </c:xVal>
          <c:yVal>
            <c:numRef>
              <c:f>'import-pieced'!$AF$2:$AF$33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8203966</c:v>
                </c:pt>
                <c:pt idx="13">
                  <c:v>2059966</c:v>
                </c:pt>
                <c:pt idx="14">
                  <c:v>1035966</c:v>
                </c:pt>
                <c:pt idx="15">
                  <c:v>523966</c:v>
                </c:pt>
                <c:pt idx="16">
                  <c:v>267966</c:v>
                </c:pt>
                <c:pt idx="17">
                  <c:v>139966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'import-pieced'!$E$2:$E$32</c15:f>
                <c15:dlblRangeCache>
                  <c:ptCount val="31"/>
                  <c:pt idx="0">
                    <c:v>0.02</c:v>
                  </c:pt>
                  <c:pt idx="1">
                    <c:v>0.05</c:v>
                  </c:pt>
                  <c:pt idx="2">
                    <c:v>0.1</c:v>
                  </c:pt>
                  <c:pt idx="3">
                    <c:v>0.2</c:v>
                  </c:pt>
                  <c:pt idx="4">
                    <c:v>0.5</c:v>
                  </c:pt>
                  <c:pt idx="5">
                    <c:v>0.9</c:v>
                  </c:pt>
                  <c:pt idx="6">
                    <c:v>0.02</c:v>
                  </c:pt>
                  <c:pt idx="7">
                    <c:v>0.05</c:v>
                  </c:pt>
                  <c:pt idx="8">
                    <c:v>0.1</c:v>
                  </c:pt>
                  <c:pt idx="9">
                    <c:v>0.2</c:v>
                  </c:pt>
                  <c:pt idx="10">
                    <c:v>0.5</c:v>
                  </c:pt>
                  <c:pt idx="11">
                    <c:v>0.9</c:v>
                  </c:pt>
                  <c:pt idx="12">
                    <c:v>0.02</c:v>
                  </c:pt>
                  <c:pt idx="13">
                    <c:v>0.05</c:v>
                  </c:pt>
                  <c:pt idx="14">
                    <c:v>0.1</c:v>
                  </c:pt>
                  <c:pt idx="15">
                    <c:v>0.2</c:v>
                  </c:pt>
                  <c:pt idx="16">
                    <c:v>0.5</c:v>
                  </c:pt>
                  <c:pt idx="17">
                    <c:v>0.9</c:v>
                  </c:pt>
                  <c:pt idx="18">
                    <c:v>0.02</c:v>
                  </c:pt>
                  <c:pt idx="19">
                    <c:v>0.05</c:v>
                  </c:pt>
                  <c:pt idx="20">
                    <c:v>0.1</c:v>
                  </c:pt>
                  <c:pt idx="21">
                    <c:v>0.2</c:v>
                  </c:pt>
                  <c:pt idx="22">
                    <c:v>0.5</c:v>
                  </c:pt>
                  <c:pt idx="23">
                    <c:v>0.9</c:v>
                  </c:pt>
                  <c:pt idx="24">
                    <c:v>0.02</c:v>
                  </c:pt>
                  <c:pt idx="25">
                    <c:v>0.05</c:v>
                  </c:pt>
                  <c:pt idx="26">
                    <c:v>0.1</c:v>
                  </c:pt>
                  <c:pt idx="27">
                    <c:v>0.2</c:v>
                  </c:pt>
                  <c:pt idx="28">
                    <c:v>0.3</c:v>
                  </c:pt>
                  <c:pt idx="29">
                    <c:v>0.5</c:v>
                  </c:pt>
                  <c:pt idx="30">
                    <c:v>0.99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5C-CBAB-4ECD-823E-82BBD2EBBC65}"/>
            </c:ext>
          </c:extLst>
        </c:ser>
        <c:ser>
          <c:idx val="3"/>
          <c:order val="3"/>
          <c:tx>
            <c:v>200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37ED0DAE-A42E-4CF6-93EB-F1CA74B6D3DF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5D-CBAB-4ECD-823E-82BBD2EBBC6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E652CC5-5ABE-4EBD-80DC-DD3BFA765DED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E-CBAB-4ECD-823E-82BBD2EBBC6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D26FACB-FBFA-4AB9-B12D-B4EF0EA57B08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F-CBAB-4ECD-823E-82BBD2EBBC6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006CE849-3DC4-42AD-B3FD-3D78AE47A0EB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0-CBAB-4ECD-823E-82BBD2EBBC6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1123AF50-C8B4-442B-84AB-5397B9045FEE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1-CBAB-4ECD-823E-82BBD2EBBC6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818A8B0E-DB3A-4750-B7C6-773C08748399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2-CBAB-4ECD-823E-82BBD2EBBC65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56EDBC81-1BEE-4F88-8F98-A1D82E764B76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3-CBAB-4ECD-823E-82BBD2EBBC65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AB0D19BD-0674-40BB-A07A-BD429CBFB042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4-CBAB-4ECD-823E-82BBD2EBBC65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013716E-284D-4B02-B2EF-9CFDE2385741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5-CBAB-4ECD-823E-82BBD2EBBC65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BF1CD67B-7CA1-4B01-90B3-2608849A5747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6-CBAB-4ECD-823E-82BBD2EBBC65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CF597A5A-2D19-48C1-8D7E-3C974C1CFE39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7-CBAB-4ECD-823E-82BBD2EBBC65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66F4BCF6-A7CE-40BE-B555-EA511B69B434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8-CBAB-4ECD-823E-82BBD2EBBC65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0ECCEE4-2C70-49BD-BB84-BF90D9134E0C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9-CBAB-4ECD-823E-82BBD2EBBC65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51CF3DB7-1C12-4583-A334-B09FFA6473E8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A-CBAB-4ECD-823E-82BBD2EBBC65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53FB2708-41C5-4300-A2DD-3F31E6BC807C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B-CBAB-4ECD-823E-82BBD2EBBC65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B3F8FCD2-2EB5-46D9-B14C-990A4C31C05F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C-CBAB-4ECD-823E-82BBD2EBBC65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55BA0D16-C648-48CA-B962-156615DB57B2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D-CBAB-4ECD-823E-82BBD2EBBC65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3C6F08FD-892A-4153-8084-2BAF25D028BD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E-CBAB-4ECD-823E-82BBD2EBBC65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020941F0-304F-40D1-8506-5074348E0802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F-CBAB-4ECD-823E-82BBD2EBBC65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DB9CBEC8-8F6E-4CD4-924B-CFA29020D5C6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0-CBAB-4ECD-823E-82BBD2EBBC65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ADFE63B0-FDAE-4D10-876D-74BB6E065991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1-CBAB-4ECD-823E-82BBD2EBBC65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0780A818-4F57-49BA-8EAF-962D9BBEFB33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2-CBAB-4ECD-823E-82BBD2EBBC65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09E90D-9E16-4217-AE0A-1D1A37B353D4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3-CBAB-4ECD-823E-82BBD2EBBC65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3F0EA62E-B086-492F-8F66-C013B290C451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4-CBAB-4ECD-823E-82BBD2EBBC65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D890E83B-6CDC-4D52-B183-D2DC51E90264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5-CBAB-4ECD-823E-82BBD2EBBC65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390BBC5F-B667-4B18-8E2B-7E1222AFDA34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6-CBAB-4ECD-823E-82BBD2EBBC65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BC6878F1-CD3D-4413-B1AB-2E4F7151A897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7-CBAB-4ECD-823E-82BBD2EBBC65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6A24B27B-EEC9-422D-B6B3-4372A12479A5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8-CBAB-4ECD-823E-82BBD2EBBC65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9E4E1623-EE72-4769-8440-0FA801CB9C2D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9-CBAB-4ECD-823E-82BBD2EBBC65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9F1C681B-CCEB-4A53-A4AB-7769AFE94338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A-CBAB-4ECD-823E-82BBD2EBBC65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856DFD15-E78A-4C07-871B-66E90CEF489C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2-CBAB-4ECD-823E-82BBD2EBBC65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endParaRPr lang="en-CA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3-CBAB-4ECD-823E-82BBD2EBBC6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4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'import-pieced'!$AA$2:$AA$33</c:f>
              <c:numCache>
                <c:formatCode>0.0</c:formatCode>
                <c:ptCount val="32"/>
                <c:pt idx="0">
                  <c:v>37.489578256794751</c:v>
                </c:pt>
                <c:pt idx="1">
                  <c:v>37.573879391320681</c:v>
                </c:pt>
                <c:pt idx="2">
                  <c:v>38.268567273840496</c:v>
                </c:pt>
                <c:pt idx="3">
                  <c:v>38.340578154353409</c:v>
                </c:pt>
                <c:pt idx="4">
                  <c:v>40.954218199688761</c:v>
                </c:pt>
                <c:pt idx="5">
                  <c:v>49.04897979203453</c:v>
                </c:pt>
                <c:pt idx="6">
                  <c:v>39.265285848908434</c:v>
                </c:pt>
                <c:pt idx="7">
                  <c:v>39.198957312531846</c:v>
                </c:pt>
                <c:pt idx="8">
                  <c:v>39.878450372851617</c:v>
                </c:pt>
                <c:pt idx="9">
                  <c:v>41.494618257261415</c:v>
                </c:pt>
                <c:pt idx="10">
                  <c:v>43.931972938540611</c:v>
                </c:pt>
                <c:pt idx="11">
                  <c:v>55.662267616609149</c:v>
                </c:pt>
                <c:pt idx="12">
                  <c:v>52.865378515542396</c:v>
                </c:pt>
                <c:pt idx="13">
                  <c:v>51.984139938659872</c:v>
                </c:pt>
                <c:pt idx="14">
                  <c:v>49.913396556026953</c:v>
                </c:pt>
                <c:pt idx="15">
                  <c:v>52.774151670272836</c:v>
                </c:pt>
                <c:pt idx="16">
                  <c:v>56.242219222765875</c:v>
                </c:pt>
                <c:pt idx="17">
                  <c:v>68.793843296416043</c:v>
                </c:pt>
                <c:pt idx="18">
                  <c:v>0</c:v>
                </c:pt>
                <c:pt idx="19">
                  <c:v>60.477243589743594</c:v>
                </c:pt>
                <c:pt idx="20">
                  <c:v>60.34748053828978</c:v>
                </c:pt>
                <c:pt idx="21">
                  <c:v>62.271554891338198</c:v>
                </c:pt>
                <c:pt idx="22">
                  <c:v>66.308520090173715</c:v>
                </c:pt>
                <c:pt idx="23">
                  <c:v>77.026573211122241</c:v>
                </c:pt>
                <c:pt idx="24">
                  <c:v>0</c:v>
                </c:pt>
                <c:pt idx="25">
                  <c:v>0</c:v>
                </c:pt>
                <c:pt idx="26">
                  <c:v>88.401476177848494</c:v>
                </c:pt>
                <c:pt idx="27">
                  <c:v>89.789001616089053</c:v>
                </c:pt>
                <c:pt idx="28">
                  <c:v>85.821925684373113</c:v>
                </c:pt>
                <c:pt idx="29">
                  <c:v>88.866080156402731</c:v>
                </c:pt>
                <c:pt idx="30">
                  <c:v>120.10110483967817</c:v>
                </c:pt>
                <c:pt idx="31">
                  <c:v>0</c:v>
                </c:pt>
              </c:numCache>
            </c:numRef>
          </c:xVal>
          <c:yVal>
            <c:numRef>
              <c:f>'import-pieced'!$AG$2:$AG$33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16395966</c:v>
                </c:pt>
                <c:pt idx="19">
                  <c:v>4107966</c:v>
                </c:pt>
                <c:pt idx="20">
                  <c:v>2059966</c:v>
                </c:pt>
                <c:pt idx="21">
                  <c:v>1035966</c:v>
                </c:pt>
                <c:pt idx="22">
                  <c:v>523966</c:v>
                </c:pt>
                <c:pt idx="23">
                  <c:v>267966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'import-pieced'!$E$2:$E$32</c15:f>
                <c15:dlblRangeCache>
                  <c:ptCount val="31"/>
                  <c:pt idx="0">
                    <c:v>0.02</c:v>
                  </c:pt>
                  <c:pt idx="1">
                    <c:v>0.05</c:v>
                  </c:pt>
                  <c:pt idx="2">
                    <c:v>0.1</c:v>
                  </c:pt>
                  <c:pt idx="3">
                    <c:v>0.2</c:v>
                  </c:pt>
                  <c:pt idx="4">
                    <c:v>0.5</c:v>
                  </c:pt>
                  <c:pt idx="5">
                    <c:v>0.9</c:v>
                  </c:pt>
                  <c:pt idx="6">
                    <c:v>0.02</c:v>
                  </c:pt>
                  <c:pt idx="7">
                    <c:v>0.05</c:v>
                  </c:pt>
                  <c:pt idx="8">
                    <c:v>0.1</c:v>
                  </c:pt>
                  <c:pt idx="9">
                    <c:v>0.2</c:v>
                  </c:pt>
                  <c:pt idx="10">
                    <c:v>0.5</c:v>
                  </c:pt>
                  <c:pt idx="11">
                    <c:v>0.9</c:v>
                  </c:pt>
                  <c:pt idx="12">
                    <c:v>0.02</c:v>
                  </c:pt>
                  <c:pt idx="13">
                    <c:v>0.05</c:v>
                  </c:pt>
                  <c:pt idx="14">
                    <c:v>0.1</c:v>
                  </c:pt>
                  <c:pt idx="15">
                    <c:v>0.2</c:v>
                  </c:pt>
                  <c:pt idx="16">
                    <c:v>0.5</c:v>
                  </c:pt>
                  <c:pt idx="17">
                    <c:v>0.9</c:v>
                  </c:pt>
                  <c:pt idx="18">
                    <c:v>0.02</c:v>
                  </c:pt>
                  <c:pt idx="19">
                    <c:v>0.05</c:v>
                  </c:pt>
                  <c:pt idx="20">
                    <c:v>0.1</c:v>
                  </c:pt>
                  <c:pt idx="21">
                    <c:v>0.2</c:v>
                  </c:pt>
                  <c:pt idx="22">
                    <c:v>0.5</c:v>
                  </c:pt>
                  <c:pt idx="23">
                    <c:v>0.9</c:v>
                  </c:pt>
                  <c:pt idx="24">
                    <c:v>0.02</c:v>
                  </c:pt>
                  <c:pt idx="25">
                    <c:v>0.05</c:v>
                  </c:pt>
                  <c:pt idx="26">
                    <c:v>0.1</c:v>
                  </c:pt>
                  <c:pt idx="27">
                    <c:v>0.2</c:v>
                  </c:pt>
                  <c:pt idx="28">
                    <c:v>0.3</c:v>
                  </c:pt>
                  <c:pt idx="29">
                    <c:v>0.5</c:v>
                  </c:pt>
                  <c:pt idx="30">
                    <c:v>0.99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7B-CBAB-4ECD-823E-82BBD2EBBC65}"/>
            </c:ext>
          </c:extLst>
        </c:ser>
        <c:ser>
          <c:idx val="4"/>
          <c:order val="4"/>
          <c:tx>
            <c:v>500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24147FA0-FA5F-44EA-AA38-D8F93784B5F3}" type="CELLRANGE">
                      <a:rPr lang="en-US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7C-CBAB-4ECD-823E-82BBD2EBBC6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0F8A972F-D96D-414F-A16F-776CEED6FB03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D-CBAB-4ECD-823E-82BBD2EBBC6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A794FD9-8B22-45C6-9202-85F60D6D2292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E-CBAB-4ECD-823E-82BBD2EBBC6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05E9061C-B28D-4A77-9A05-B03AE4507A89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F-CBAB-4ECD-823E-82BBD2EBBC6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75700250-D271-417A-8250-3B0EFB725395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0-CBAB-4ECD-823E-82BBD2EBBC6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F07198AF-C948-47C4-A198-CB080A328D2A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1-CBAB-4ECD-823E-82BBD2EBBC65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1CADD31A-BD61-42DC-9536-0012792AD9F3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2-CBAB-4ECD-823E-82BBD2EBBC65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DF106C17-214B-4A79-8B53-A192054A7673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3-CBAB-4ECD-823E-82BBD2EBBC65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F0EBBD2C-A0DC-4EAA-80C4-00F0774F3A11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4-CBAB-4ECD-823E-82BBD2EBBC65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E56CF541-5083-45E0-B9AD-816625AE3856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5-CBAB-4ECD-823E-82BBD2EBBC65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20AD7D8E-44DB-4497-82D3-5542130C9F1F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6-CBAB-4ECD-823E-82BBD2EBBC65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4116B937-2213-4826-BA24-4A330DB5A6D4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7-CBAB-4ECD-823E-82BBD2EBBC65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9212BD2D-8F50-47CF-A245-E64C7BFAC62B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8-CBAB-4ECD-823E-82BBD2EBBC65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895E9D81-B301-4112-95D6-29C252BC12DB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9-CBAB-4ECD-823E-82BBD2EBBC65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4F0C9633-8746-4D13-B5E3-E692D037C276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A-CBAB-4ECD-823E-82BBD2EBBC65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4D7C3A63-0F86-4CA3-A150-209F52311CDA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B-CBAB-4ECD-823E-82BBD2EBBC65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B6D0F3CD-0811-4C87-B95C-3B7670092016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C-CBAB-4ECD-823E-82BBD2EBBC65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044EB473-4362-4DFC-97D0-A6F138E8BAD1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D-CBAB-4ECD-823E-82BBD2EBBC65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06F1E7A5-F4BF-4122-831C-5B8A0AB38A2E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E-CBAB-4ECD-823E-82BBD2EBBC65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BF9E5482-F8DD-42E7-AF93-4044F3FC807A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F-CBAB-4ECD-823E-82BBD2EBBC65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913F9F15-DE54-41E8-B004-8A818E016844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0-CBAB-4ECD-823E-82BBD2EBBC65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C52C594A-ABD5-4E60-ABA3-EE5EA7B48279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1-CBAB-4ECD-823E-82BBD2EBBC65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36C3C86A-2EB1-49B5-961C-D54CE75EB8DC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2-CBAB-4ECD-823E-82BBD2EBBC65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38DC1198-AEC5-473D-AE3F-03CB98007700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3-CBAB-4ECD-823E-82BBD2EBBC65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B07826DE-7D16-41E0-B290-5489FF629D0A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4-CBAB-4ECD-823E-82BBD2EBBC65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A2713F16-C6EC-4DEC-BABE-F13711E35CAF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5-CBAB-4ECD-823E-82BBD2EBBC65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C4B8AA89-E6F5-42E1-88EA-B0226B762B4C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6-CBAB-4ECD-823E-82BBD2EBBC65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79519EC7-D536-425D-ADB1-F4CF8E461E89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7-CBAB-4ECD-823E-82BBD2EBBC65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0811FA1B-1FCF-41F4-BD27-5F87EE173191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8-CBAB-4ECD-823E-82BBD2EBBC65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4BE8D2C9-2FCD-45FC-B3B0-3A1506360458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9-CBAB-4ECD-823E-82BBD2EBBC65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0ECF8F14-62BB-4A4C-9B5F-9534C6FA1C11}" type="CELLRANGE">
                      <a:rPr lang="en-CA"/>
                      <a:pPr/>
                      <a:t>[CELLRANGE]</a:t>
                    </a:fld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4-CBAB-4ECD-823E-82BBD2EBBC65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endParaRPr lang="en-CA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5-CBAB-4ECD-823E-82BBD2EBBC6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5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'import-pieced'!$AA$2:$AA$33</c:f>
              <c:numCache>
                <c:formatCode>0.0</c:formatCode>
                <c:ptCount val="32"/>
                <c:pt idx="0">
                  <c:v>37.489578256794751</c:v>
                </c:pt>
                <c:pt idx="1">
                  <c:v>37.573879391320681</c:v>
                </c:pt>
                <c:pt idx="2">
                  <c:v>38.268567273840496</c:v>
                </c:pt>
                <c:pt idx="3">
                  <c:v>38.340578154353409</c:v>
                </c:pt>
                <c:pt idx="4">
                  <c:v>40.954218199688761</c:v>
                </c:pt>
                <c:pt idx="5">
                  <c:v>49.04897979203453</c:v>
                </c:pt>
                <c:pt idx="6">
                  <c:v>39.265285848908434</c:v>
                </c:pt>
                <c:pt idx="7">
                  <c:v>39.198957312531846</c:v>
                </c:pt>
                <c:pt idx="8">
                  <c:v>39.878450372851617</c:v>
                </c:pt>
                <c:pt idx="9">
                  <c:v>41.494618257261415</c:v>
                </c:pt>
                <c:pt idx="10">
                  <c:v>43.931972938540611</c:v>
                </c:pt>
                <c:pt idx="11">
                  <c:v>55.662267616609149</c:v>
                </c:pt>
                <c:pt idx="12">
                  <c:v>52.865378515542396</c:v>
                </c:pt>
                <c:pt idx="13">
                  <c:v>51.984139938659872</c:v>
                </c:pt>
                <c:pt idx="14">
                  <c:v>49.913396556026953</c:v>
                </c:pt>
                <c:pt idx="15">
                  <c:v>52.774151670272836</c:v>
                </c:pt>
                <c:pt idx="16">
                  <c:v>56.242219222765875</c:v>
                </c:pt>
                <c:pt idx="17">
                  <c:v>68.793843296416043</c:v>
                </c:pt>
                <c:pt idx="18">
                  <c:v>0</c:v>
                </c:pt>
                <c:pt idx="19">
                  <c:v>60.477243589743594</c:v>
                </c:pt>
                <c:pt idx="20">
                  <c:v>60.34748053828978</c:v>
                </c:pt>
                <c:pt idx="21">
                  <c:v>62.271554891338198</c:v>
                </c:pt>
                <c:pt idx="22">
                  <c:v>66.308520090173715</c:v>
                </c:pt>
                <c:pt idx="23">
                  <c:v>77.026573211122241</c:v>
                </c:pt>
                <c:pt idx="24">
                  <c:v>0</c:v>
                </c:pt>
                <c:pt idx="25">
                  <c:v>0</c:v>
                </c:pt>
                <c:pt idx="26">
                  <c:v>88.401476177848494</c:v>
                </c:pt>
                <c:pt idx="27">
                  <c:v>89.789001616089053</c:v>
                </c:pt>
                <c:pt idx="28">
                  <c:v>85.821925684373113</c:v>
                </c:pt>
                <c:pt idx="29">
                  <c:v>88.866080156402731</c:v>
                </c:pt>
                <c:pt idx="30">
                  <c:v>120.10110483967817</c:v>
                </c:pt>
                <c:pt idx="31">
                  <c:v>0</c:v>
                </c:pt>
              </c:numCache>
            </c:numRef>
          </c:xVal>
          <c:yVal>
            <c:numRef>
              <c:f>'import-pieced'!$AH$2:$AH$33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32779966</c:v>
                </c:pt>
                <c:pt idx="25">
                  <c:v>16395966</c:v>
                </c:pt>
                <c:pt idx="26">
                  <c:v>8203966</c:v>
                </c:pt>
                <c:pt idx="27">
                  <c:v>4107966</c:v>
                </c:pt>
                <c:pt idx="28">
                  <c:v>2059966</c:v>
                </c:pt>
                <c:pt idx="29">
                  <c:v>1035966</c:v>
                </c:pt>
                <c:pt idx="30">
                  <c:v>523966</c:v>
                </c:pt>
                <c:pt idx="31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'import-pieced'!$E$2:$E$32</c15:f>
                <c15:dlblRangeCache>
                  <c:ptCount val="31"/>
                  <c:pt idx="0">
                    <c:v>0.02</c:v>
                  </c:pt>
                  <c:pt idx="1">
                    <c:v>0.05</c:v>
                  </c:pt>
                  <c:pt idx="2">
                    <c:v>0.1</c:v>
                  </c:pt>
                  <c:pt idx="3">
                    <c:v>0.2</c:v>
                  </c:pt>
                  <c:pt idx="4">
                    <c:v>0.5</c:v>
                  </c:pt>
                  <c:pt idx="5">
                    <c:v>0.9</c:v>
                  </c:pt>
                  <c:pt idx="6">
                    <c:v>0.02</c:v>
                  </c:pt>
                  <c:pt idx="7">
                    <c:v>0.05</c:v>
                  </c:pt>
                  <c:pt idx="8">
                    <c:v>0.1</c:v>
                  </c:pt>
                  <c:pt idx="9">
                    <c:v>0.2</c:v>
                  </c:pt>
                  <c:pt idx="10">
                    <c:v>0.5</c:v>
                  </c:pt>
                  <c:pt idx="11">
                    <c:v>0.9</c:v>
                  </c:pt>
                  <c:pt idx="12">
                    <c:v>0.02</c:v>
                  </c:pt>
                  <c:pt idx="13">
                    <c:v>0.05</c:v>
                  </c:pt>
                  <c:pt idx="14">
                    <c:v>0.1</c:v>
                  </c:pt>
                  <c:pt idx="15">
                    <c:v>0.2</c:v>
                  </c:pt>
                  <c:pt idx="16">
                    <c:v>0.5</c:v>
                  </c:pt>
                  <c:pt idx="17">
                    <c:v>0.9</c:v>
                  </c:pt>
                  <c:pt idx="18">
                    <c:v>0.02</c:v>
                  </c:pt>
                  <c:pt idx="19">
                    <c:v>0.05</c:v>
                  </c:pt>
                  <c:pt idx="20">
                    <c:v>0.1</c:v>
                  </c:pt>
                  <c:pt idx="21">
                    <c:v>0.2</c:v>
                  </c:pt>
                  <c:pt idx="22">
                    <c:v>0.5</c:v>
                  </c:pt>
                  <c:pt idx="23">
                    <c:v>0.9</c:v>
                  </c:pt>
                  <c:pt idx="24">
                    <c:v>0.02</c:v>
                  </c:pt>
                  <c:pt idx="25">
                    <c:v>0.05</c:v>
                  </c:pt>
                  <c:pt idx="26">
                    <c:v>0.1</c:v>
                  </c:pt>
                  <c:pt idx="27">
                    <c:v>0.2</c:v>
                  </c:pt>
                  <c:pt idx="28">
                    <c:v>0.3</c:v>
                  </c:pt>
                  <c:pt idx="29">
                    <c:v>0.5</c:v>
                  </c:pt>
                  <c:pt idx="30">
                    <c:v>0.99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9A-CBAB-4ECD-823E-82BBD2EBBC65}"/>
            </c:ext>
          </c:extLst>
        </c:ser>
        <c:dLbls>
          <c:dLblPos val="l"/>
          <c:showLegendKey val="0"/>
          <c:showVal val="1"/>
          <c:showCatName val="0"/>
          <c:showSerName val="0"/>
          <c:showPercent val="0"/>
          <c:showBubbleSize val="0"/>
        </c:dLbls>
        <c:axId val="1104004040"/>
        <c:axId val="1104009288"/>
      </c:scatterChart>
      <c:valAx>
        <c:axId val="1104004040"/>
        <c:scaling>
          <c:logBase val="2"/>
          <c:orientation val="minMax"/>
          <c:min val="3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(ns, lower is better)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009288"/>
        <c:crosses val="autoZero"/>
        <c:crossBetween val="midCat"/>
      </c:valAx>
      <c:valAx>
        <c:axId val="1104009288"/>
        <c:scaling>
          <c:logBase val="2"/>
          <c:orientation val="minMax"/>
          <c:min val="3267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Space Used (byte, lower is better)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0040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20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xVal>
            <c:numRef>
              <c:f>simplified!$AA$2:$AA$33</c:f>
              <c:numCache>
                <c:formatCode>0.0</c:formatCode>
                <c:ptCount val="32"/>
                <c:pt idx="0">
                  <c:v>0</c:v>
                </c:pt>
                <c:pt idx="1">
                  <c:v>37.573879391320681</c:v>
                </c:pt>
                <c:pt idx="2">
                  <c:v>38.268567273840496</c:v>
                </c:pt>
                <c:pt idx="3">
                  <c:v>38.340578154353409</c:v>
                </c:pt>
                <c:pt idx="4">
                  <c:v>40.954218199688761</c:v>
                </c:pt>
                <c:pt idx="5">
                  <c:v>49.04897979203453</c:v>
                </c:pt>
                <c:pt idx="6">
                  <c:v>0</c:v>
                </c:pt>
                <c:pt idx="7">
                  <c:v>39.198957312531846</c:v>
                </c:pt>
                <c:pt idx="8">
                  <c:v>39.878450372851617</c:v>
                </c:pt>
                <c:pt idx="9">
                  <c:v>41.494618257261415</c:v>
                </c:pt>
                <c:pt idx="10">
                  <c:v>43.931972938540611</c:v>
                </c:pt>
                <c:pt idx="11">
                  <c:v>55.662267616609149</c:v>
                </c:pt>
                <c:pt idx="12">
                  <c:v>0</c:v>
                </c:pt>
                <c:pt idx="13">
                  <c:v>0</c:v>
                </c:pt>
                <c:pt idx="14">
                  <c:v>49.913396556026953</c:v>
                </c:pt>
                <c:pt idx="15">
                  <c:v>52.774151670272836</c:v>
                </c:pt>
                <c:pt idx="16">
                  <c:v>56.242219222765875</c:v>
                </c:pt>
                <c:pt idx="17">
                  <c:v>68.793843296416043</c:v>
                </c:pt>
                <c:pt idx="18">
                  <c:v>0</c:v>
                </c:pt>
                <c:pt idx="19">
                  <c:v>0</c:v>
                </c:pt>
                <c:pt idx="20">
                  <c:v>60.34748053828978</c:v>
                </c:pt>
                <c:pt idx="21">
                  <c:v>62.271554891338198</c:v>
                </c:pt>
                <c:pt idx="22">
                  <c:v>66.308520090173715</c:v>
                </c:pt>
                <c:pt idx="23">
                  <c:v>77.026573211122241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85.821925684373113</c:v>
                </c:pt>
                <c:pt idx="29">
                  <c:v>88.866080156402731</c:v>
                </c:pt>
                <c:pt idx="30">
                  <c:v>120.10110483967817</c:v>
                </c:pt>
                <c:pt idx="31">
                  <c:v>0</c:v>
                </c:pt>
              </c:numCache>
            </c:numRef>
          </c:xVal>
          <c:yVal>
            <c:numRef>
              <c:f>simplified!$AD$2:$AD$33</c:f>
              <c:numCache>
                <c:formatCode>General</c:formatCode>
                <c:ptCount val="32"/>
                <c:pt idx="0">
                  <c:v>1035966</c:v>
                </c:pt>
                <c:pt idx="1">
                  <c:v>523966</c:v>
                </c:pt>
                <c:pt idx="2">
                  <c:v>267966</c:v>
                </c:pt>
                <c:pt idx="3">
                  <c:v>139966</c:v>
                </c:pt>
                <c:pt idx="4">
                  <c:v>75966</c:v>
                </c:pt>
                <c:pt idx="5">
                  <c:v>43966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F7CE-455D-8D8B-F01E2457D56F}"/>
            </c:ext>
          </c:extLst>
        </c:ser>
        <c:ser>
          <c:idx val="1"/>
          <c:order val="1"/>
          <c:tx>
            <c:v>50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elete val="1"/>
          </c:dLbls>
          <c:xVal>
            <c:numRef>
              <c:f>simplified!$AA$2:$AA$33</c:f>
              <c:numCache>
                <c:formatCode>0.0</c:formatCode>
                <c:ptCount val="32"/>
                <c:pt idx="0">
                  <c:v>0</c:v>
                </c:pt>
                <c:pt idx="1">
                  <c:v>37.573879391320681</c:v>
                </c:pt>
                <c:pt idx="2">
                  <c:v>38.268567273840496</c:v>
                </c:pt>
                <c:pt idx="3">
                  <c:v>38.340578154353409</c:v>
                </c:pt>
                <c:pt idx="4">
                  <c:v>40.954218199688761</c:v>
                </c:pt>
                <c:pt idx="5">
                  <c:v>49.04897979203453</c:v>
                </c:pt>
                <c:pt idx="6">
                  <c:v>0</c:v>
                </c:pt>
                <c:pt idx="7">
                  <c:v>39.198957312531846</c:v>
                </c:pt>
                <c:pt idx="8">
                  <c:v>39.878450372851617</c:v>
                </c:pt>
                <c:pt idx="9">
                  <c:v>41.494618257261415</c:v>
                </c:pt>
                <c:pt idx="10">
                  <c:v>43.931972938540611</c:v>
                </c:pt>
                <c:pt idx="11">
                  <c:v>55.662267616609149</c:v>
                </c:pt>
                <c:pt idx="12">
                  <c:v>0</c:v>
                </c:pt>
                <c:pt idx="13">
                  <c:v>0</c:v>
                </c:pt>
                <c:pt idx="14">
                  <c:v>49.913396556026953</c:v>
                </c:pt>
                <c:pt idx="15">
                  <c:v>52.774151670272836</c:v>
                </c:pt>
                <c:pt idx="16">
                  <c:v>56.242219222765875</c:v>
                </c:pt>
                <c:pt idx="17">
                  <c:v>68.793843296416043</c:v>
                </c:pt>
                <c:pt idx="18">
                  <c:v>0</c:v>
                </c:pt>
                <c:pt idx="19">
                  <c:v>0</c:v>
                </c:pt>
                <c:pt idx="20">
                  <c:v>60.34748053828978</c:v>
                </c:pt>
                <c:pt idx="21">
                  <c:v>62.271554891338198</c:v>
                </c:pt>
                <c:pt idx="22">
                  <c:v>66.308520090173715</c:v>
                </c:pt>
                <c:pt idx="23">
                  <c:v>77.026573211122241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85.821925684373113</c:v>
                </c:pt>
                <c:pt idx="29">
                  <c:v>88.866080156402731</c:v>
                </c:pt>
                <c:pt idx="30">
                  <c:v>120.10110483967817</c:v>
                </c:pt>
                <c:pt idx="31">
                  <c:v>0</c:v>
                </c:pt>
              </c:numCache>
            </c:numRef>
          </c:xVal>
          <c:yVal>
            <c:numRef>
              <c:f>simplified!$AE$2:$AE$33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4107966</c:v>
                </c:pt>
                <c:pt idx="7">
                  <c:v>1035966</c:v>
                </c:pt>
                <c:pt idx="8">
                  <c:v>523966</c:v>
                </c:pt>
                <c:pt idx="9">
                  <c:v>267966</c:v>
                </c:pt>
                <c:pt idx="10">
                  <c:v>139966</c:v>
                </c:pt>
                <c:pt idx="11">
                  <c:v>75966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41-F7CE-455D-8D8B-F01E2457D56F}"/>
            </c:ext>
          </c:extLst>
        </c:ser>
        <c:ser>
          <c:idx val="2"/>
          <c:order val="2"/>
          <c:tx>
            <c:v>100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elete val="1"/>
          </c:dLbls>
          <c:xVal>
            <c:numRef>
              <c:f>simplified!$AA$2:$AA$33</c:f>
              <c:numCache>
                <c:formatCode>0.0</c:formatCode>
                <c:ptCount val="32"/>
                <c:pt idx="0">
                  <c:v>0</c:v>
                </c:pt>
                <c:pt idx="1">
                  <c:v>37.573879391320681</c:v>
                </c:pt>
                <c:pt idx="2">
                  <c:v>38.268567273840496</c:v>
                </c:pt>
                <c:pt idx="3">
                  <c:v>38.340578154353409</c:v>
                </c:pt>
                <c:pt idx="4">
                  <c:v>40.954218199688761</c:v>
                </c:pt>
                <c:pt idx="5">
                  <c:v>49.04897979203453</c:v>
                </c:pt>
                <c:pt idx="6">
                  <c:v>0</c:v>
                </c:pt>
                <c:pt idx="7">
                  <c:v>39.198957312531846</c:v>
                </c:pt>
                <c:pt idx="8">
                  <c:v>39.878450372851617</c:v>
                </c:pt>
                <c:pt idx="9">
                  <c:v>41.494618257261415</c:v>
                </c:pt>
                <c:pt idx="10">
                  <c:v>43.931972938540611</c:v>
                </c:pt>
                <c:pt idx="11">
                  <c:v>55.662267616609149</c:v>
                </c:pt>
                <c:pt idx="12">
                  <c:v>0</c:v>
                </c:pt>
                <c:pt idx="13">
                  <c:v>0</c:v>
                </c:pt>
                <c:pt idx="14">
                  <c:v>49.913396556026953</c:v>
                </c:pt>
                <c:pt idx="15">
                  <c:v>52.774151670272836</c:v>
                </c:pt>
                <c:pt idx="16">
                  <c:v>56.242219222765875</c:v>
                </c:pt>
                <c:pt idx="17">
                  <c:v>68.793843296416043</c:v>
                </c:pt>
                <c:pt idx="18">
                  <c:v>0</c:v>
                </c:pt>
                <c:pt idx="19">
                  <c:v>0</c:v>
                </c:pt>
                <c:pt idx="20">
                  <c:v>60.34748053828978</c:v>
                </c:pt>
                <c:pt idx="21">
                  <c:v>62.271554891338198</c:v>
                </c:pt>
                <c:pt idx="22">
                  <c:v>66.308520090173715</c:v>
                </c:pt>
                <c:pt idx="23">
                  <c:v>77.026573211122241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85.821925684373113</c:v>
                </c:pt>
                <c:pt idx="29">
                  <c:v>88.866080156402731</c:v>
                </c:pt>
                <c:pt idx="30">
                  <c:v>120.10110483967817</c:v>
                </c:pt>
                <c:pt idx="31">
                  <c:v>0</c:v>
                </c:pt>
              </c:numCache>
            </c:numRef>
          </c:xVal>
          <c:yVal>
            <c:numRef>
              <c:f>simplified!$AF$2:$AF$33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8203966</c:v>
                </c:pt>
                <c:pt idx="13">
                  <c:v>2059966</c:v>
                </c:pt>
                <c:pt idx="14">
                  <c:v>1035966</c:v>
                </c:pt>
                <c:pt idx="15">
                  <c:v>523966</c:v>
                </c:pt>
                <c:pt idx="16">
                  <c:v>267966</c:v>
                </c:pt>
                <c:pt idx="17">
                  <c:v>139966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62-F7CE-455D-8D8B-F01E2457D56F}"/>
            </c:ext>
          </c:extLst>
        </c:ser>
        <c:ser>
          <c:idx val="3"/>
          <c:order val="3"/>
          <c:tx>
            <c:v>200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elete val="1"/>
          </c:dLbls>
          <c:xVal>
            <c:numRef>
              <c:f>simplified!$AA$2:$AA$33</c:f>
              <c:numCache>
                <c:formatCode>0.0</c:formatCode>
                <c:ptCount val="32"/>
                <c:pt idx="0">
                  <c:v>0</c:v>
                </c:pt>
                <c:pt idx="1">
                  <c:v>37.573879391320681</c:v>
                </c:pt>
                <c:pt idx="2">
                  <c:v>38.268567273840496</c:v>
                </c:pt>
                <c:pt idx="3">
                  <c:v>38.340578154353409</c:v>
                </c:pt>
                <c:pt idx="4">
                  <c:v>40.954218199688761</c:v>
                </c:pt>
                <c:pt idx="5">
                  <c:v>49.04897979203453</c:v>
                </c:pt>
                <c:pt idx="6">
                  <c:v>0</c:v>
                </c:pt>
                <c:pt idx="7">
                  <c:v>39.198957312531846</c:v>
                </c:pt>
                <c:pt idx="8">
                  <c:v>39.878450372851617</c:v>
                </c:pt>
                <c:pt idx="9">
                  <c:v>41.494618257261415</c:v>
                </c:pt>
                <c:pt idx="10">
                  <c:v>43.931972938540611</c:v>
                </c:pt>
                <c:pt idx="11">
                  <c:v>55.662267616609149</c:v>
                </c:pt>
                <c:pt idx="12">
                  <c:v>0</c:v>
                </c:pt>
                <c:pt idx="13">
                  <c:v>0</c:v>
                </c:pt>
                <c:pt idx="14">
                  <c:v>49.913396556026953</c:v>
                </c:pt>
                <c:pt idx="15">
                  <c:v>52.774151670272836</c:v>
                </c:pt>
                <c:pt idx="16">
                  <c:v>56.242219222765875</c:v>
                </c:pt>
                <c:pt idx="17">
                  <c:v>68.793843296416043</c:v>
                </c:pt>
                <c:pt idx="18">
                  <c:v>0</c:v>
                </c:pt>
                <c:pt idx="19">
                  <c:v>0</c:v>
                </c:pt>
                <c:pt idx="20">
                  <c:v>60.34748053828978</c:v>
                </c:pt>
                <c:pt idx="21">
                  <c:v>62.271554891338198</c:v>
                </c:pt>
                <c:pt idx="22">
                  <c:v>66.308520090173715</c:v>
                </c:pt>
                <c:pt idx="23">
                  <c:v>77.026573211122241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85.821925684373113</c:v>
                </c:pt>
                <c:pt idx="29">
                  <c:v>88.866080156402731</c:v>
                </c:pt>
                <c:pt idx="30">
                  <c:v>120.10110483967817</c:v>
                </c:pt>
                <c:pt idx="31">
                  <c:v>0</c:v>
                </c:pt>
              </c:numCache>
            </c:numRef>
          </c:xVal>
          <c:yVal>
            <c:numRef>
              <c:f>simplified!$AG$2:$AG$33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16395966</c:v>
                </c:pt>
                <c:pt idx="19">
                  <c:v>4107966</c:v>
                </c:pt>
                <c:pt idx="20">
                  <c:v>2059966</c:v>
                </c:pt>
                <c:pt idx="21">
                  <c:v>1035966</c:v>
                </c:pt>
                <c:pt idx="22">
                  <c:v>523966</c:v>
                </c:pt>
                <c:pt idx="23">
                  <c:v>267966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83-F7CE-455D-8D8B-F01E2457D56F}"/>
            </c:ext>
          </c:extLst>
        </c:ser>
        <c:ser>
          <c:idx val="4"/>
          <c:order val="4"/>
          <c:tx>
            <c:v>500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delete val="1"/>
          </c:dLbls>
          <c:xVal>
            <c:numRef>
              <c:f>simplified!$AA$2:$AA$33</c:f>
              <c:numCache>
                <c:formatCode>0.0</c:formatCode>
                <c:ptCount val="32"/>
                <c:pt idx="0">
                  <c:v>0</c:v>
                </c:pt>
                <c:pt idx="1">
                  <c:v>37.573879391320681</c:v>
                </c:pt>
                <c:pt idx="2">
                  <c:v>38.268567273840496</c:v>
                </c:pt>
                <c:pt idx="3">
                  <c:v>38.340578154353409</c:v>
                </c:pt>
                <c:pt idx="4">
                  <c:v>40.954218199688761</c:v>
                </c:pt>
                <c:pt idx="5">
                  <c:v>49.04897979203453</c:v>
                </c:pt>
                <c:pt idx="6">
                  <c:v>0</c:v>
                </c:pt>
                <c:pt idx="7">
                  <c:v>39.198957312531846</c:v>
                </c:pt>
                <c:pt idx="8">
                  <c:v>39.878450372851617</c:v>
                </c:pt>
                <c:pt idx="9">
                  <c:v>41.494618257261415</c:v>
                </c:pt>
                <c:pt idx="10">
                  <c:v>43.931972938540611</c:v>
                </c:pt>
                <c:pt idx="11">
                  <c:v>55.662267616609149</c:v>
                </c:pt>
                <c:pt idx="12">
                  <c:v>0</c:v>
                </c:pt>
                <c:pt idx="13">
                  <c:v>0</c:v>
                </c:pt>
                <c:pt idx="14">
                  <c:v>49.913396556026953</c:v>
                </c:pt>
                <c:pt idx="15">
                  <c:v>52.774151670272836</c:v>
                </c:pt>
                <c:pt idx="16">
                  <c:v>56.242219222765875</c:v>
                </c:pt>
                <c:pt idx="17">
                  <c:v>68.793843296416043</c:v>
                </c:pt>
                <c:pt idx="18">
                  <c:v>0</c:v>
                </c:pt>
                <c:pt idx="19">
                  <c:v>0</c:v>
                </c:pt>
                <c:pt idx="20">
                  <c:v>60.34748053828978</c:v>
                </c:pt>
                <c:pt idx="21">
                  <c:v>62.271554891338198</c:v>
                </c:pt>
                <c:pt idx="22">
                  <c:v>66.308520090173715</c:v>
                </c:pt>
                <c:pt idx="23">
                  <c:v>77.026573211122241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85.821925684373113</c:v>
                </c:pt>
                <c:pt idx="29">
                  <c:v>88.866080156402731</c:v>
                </c:pt>
                <c:pt idx="30">
                  <c:v>120.10110483967817</c:v>
                </c:pt>
                <c:pt idx="31">
                  <c:v>0</c:v>
                </c:pt>
              </c:numCache>
            </c:numRef>
          </c:xVal>
          <c:yVal>
            <c:numRef>
              <c:f>simplified!$AH$2:$AH$33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32779966</c:v>
                </c:pt>
                <c:pt idx="25">
                  <c:v>16395966</c:v>
                </c:pt>
                <c:pt idx="26">
                  <c:v>8203966</c:v>
                </c:pt>
                <c:pt idx="27">
                  <c:v>4107966</c:v>
                </c:pt>
                <c:pt idx="28">
                  <c:v>2059966</c:v>
                </c:pt>
                <c:pt idx="29">
                  <c:v>1035966</c:v>
                </c:pt>
                <c:pt idx="30">
                  <c:v>523966</c:v>
                </c:pt>
                <c:pt idx="3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A4-F7CE-455D-8D8B-F01E2457D56F}"/>
            </c:ext>
          </c:extLst>
        </c:ser>
        <c:dLbls>
          <c:dLblPos val="l"/>
          <c:showLegendKey val="0"/>
          <c:showVal val="1"/>
          <c:showCatName val="0"/>
          <c:showSerName val="0"/>
          <c:showPercent val="0"/>
          <c:showBubbleSize val="0"/>
        </c:dLbls>
        <c:axId val="1104004040"/>
        <c:axId val="1104009288"/>
      </c:scatterChart>
      <c:valAx>
        <c:axId val="1104004040"/>
        <c:scaling>
          <c:logBase val="2"/>
          <c:orientation val="minMax"/>
          <c:min val="3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(ns, lower is better)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009288"/>
        <c:crosses val="autoZero"/>
        <c:crossBetween val="midCat"/>
      </c:valAx>
      <c:valAx>
        <c:axId val="1104009288"/>
        <c:scaling>
          <c:logBase val="2"/>
          <c:orientation val="minMax"/>
          <c:min val="3267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Space Used (byte, lower is better)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0040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[round13.xlsx]pall!PivotTable1</c:name>
    <c:fmtId val="3"/>
  </c:pivotSource>
  <c:chart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 w="28575" cap="rnd">
            <a:solidFill>
              <a:schemeClr val="accent1"/>
            </a:solidFill>
            <a:prstDash val="sysDot"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accent1"/>
          </a:solidFill>
          <a:ln w="28575" cap="rnd">
            <a:solidFill>
              <a:schemeClr val="accent2"/>
            </a:solidFill>
            <a:prstDash val="sysDot"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 w="28575" cap="rnd">
            <a:solidFill>
              <a:schemeClr val="accent6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accent1"/>
          </a:solidFill>
          <a:ln w="28575" cap="rnd">
            <a:solidFill>
              <a:schemeClr val="bg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  <a:ln w="28575" cap="rnd">
            <a:solidFill>
              <a:schemeClr val="accent4"/>
            </a:solidFill>
            <a:prstDash val="sysDot"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accent1"/>
          </a:solidFill>
          <a:ln w="28575" cap="rnd">
            <a:solidFill>
              <a:schemeClr val="accent6">
                <a:lumMod val="50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accent1"/>
          </a:solidFill>
          <a:ln w="28575" cap="rnd">
            <a:solidFill>
              <a:schemeClr val="accent6">
                <a:lumMod val="50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2"/>
        <c:spPr>
          <a:solidFill>
            <a:schemeClr val="accent1"/>
          </a:solidFill>
          <a:ln w="28575" cap="rnd">
            <a:solidFill>
              <a:schemeClr val="bg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3"/>
        <c:spPr>
          <a:solidFill>
            <a:schemeClr val="accent1"/>
          </a:solidFill>
          <a:ln w="28575" cap="rnd">
            <a:solidFill>
              <a:schemeClr val="accent4"/>
            </a:solidFill>
            <a:prstDash val="sysDot"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7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8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9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0"/>
        <c:spPr>
          <a:ln w="28575" cap="rnd">
            <a:solidFill>
              <a:schemeClr val="accent6">
                <a:lumMod val="50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1"/>
        <c:spPr>
          <a:ln w="28575" cap="rnd">
            <a:solidFill>
              <a:schemeClr val="accent6">
                <a:lumMod val="50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pall!$B$8:$B$10</c:f>
              <c:strCache>
                <c:ptCount val="1"/>
                <c:pt idx="0">
                  <c:v>cfa-ll-share-na - 20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pall!$A$11:$A$16</c:f>
              <c:strCache>
                <c:ptCount val="6"/>
                <c:pt idx="0">
                  <c:v>0.02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0.5</c:v>
                </c:pt>
                <c:pt idx="5">
                  <c:v>0.9</c:v>
                </c:pt>
              </c:strCache>
            </c:strRef>
          </c:cat>
          <c:val>
            <c:numRef>
              <c:f>pall!$B$11:$B$16</c:f>
              <c:numCache>
                <c:formatCode>0.0</c:formatCode>
                <c:ptCount val="6"/>
                <c:pt idx="0">
                  <c:v>37.489578256794751</c:v>
                </c:pt>
                <c:pt idx="1">
                  <c:v>37.573879391320681</c:v>
                </c:pt>
                <c:pt idx="2">
                  <c:v>38.268567273840496</c:v>
                </c:pt>
                <c:pt idx="3">
                  <c:v>38.340578154353409</c:v>
                </c:pt>
                <c:pt idx="4">
                  <c:v>40.954218199688761</c:v>
                </c:pt>
                <c:pt idx="5">
                  <c:v>49.04897979203453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658-4317-A2C9-9A08C48C2B3F}"/>
            </c:ext>
          </c:extLst>
        </c:ser>
        <c:ser>
          <c:idx val="1"/>
          <c:order val="1"/>
          <c:tx>
            <c:strRef>
              <c:f>pall!$C$8:$C$10</c:f>
              <c:strCache>
                <c:ptCount val="1"/>
                <c:pt idx="0">
                  <c:v>cfa-ll-share-na - 50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pall!$A$11:$A$16</c:f>
              <c:strCache>
                <c:ptCount val="6"/>
                <c:pt idx="0">
                  <c:v>0.02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0.5</c:v>
                </c:pt>
                <c:pt idx="5">
                  <c:v>0.9</c:v>
                </c:pt>
              </c:strCache>
            </c:strRef>
          </c:cat>
          <c:val>
            <c:numRef>
              <c:f>pall!$C$11:$C$16</c:f>
              <c:numCache>
                <c:formatCode>0.0</c:formatCode>
                <c:ptCount val="6"/>
                <c:pt idx="0">
                  <c:v>39.265285848908434</c:v>
                </c:pt>
                <c:pt idx="1">
                  <c:v>39.198957312531846</c:v>
                </c:pt>
                <c:pt idx="2">
                  <c:v>39.878450372851617</c:v>
                </c:pt>
                <c:pt idx="3">
                  <c:v>50.247226409406096</c:v>
                </c:pt>
                <c:pt idx="4">
                  <c:v>43.931972938540611</c:v>
                </c:pt>
                <c:pt idx="5">
                  <c:v>55.662267616609149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7A2-4343-BBC2-BA8D92AF4B38}"/>
            </c:ext>
          </c:extLst>
        </c:ser>
        <c:ser>
          <c:idx val="2"/>
          <c:order val="2"/>
          <c:tx>
            <c:strRef>
              <c:f>pall!$D$8:$D$10</c:f>
              <c:strCache>
                <c:ptCount val="1"/>
                <c:pt idx="0">
                  <c:v>cfa-ll-share-na - 100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pall!$A$11:$A$16</c:f>
              <c:strCache>
                <c:ptCount val="6"/>
                <c:pt idx="0">
                  <c:v>0.02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0.5</c:v>
                </c:pt>
                <c:pt idx="5">
                  <c:v>0.9</c:v>
                </c:pt>
              </c:strCache>
            </c:strRef>
          </c:cat>
          <c:val>
            <c:numRef>
              <c:f>pall!$D$11:$D$16</c:f>
              <c:numCache>
                <c:formatCode>0.0</c:formatCode>
                <c:ptCount val="6"/>
                <c:pt idx="0">
                  <c:v>49.460950638045304</c:v>
                </c:pt>
                <c:pt idx="1">
                  <c:v>51.857441402198717</c:v>
                </c:pt>
                <c:pt idx="2">
                  <c:v>50.958769873624135</c:v>
                </c:pt>
                <c:pt idx="3">
                  <c:v>55.507182504440493</c:v>
                </c:pt>
                <c:pt idx="4">
                  <c:v>55.765510511347799</c:v>
                </c:pt>
                <c:pt idx="5">
                  <c:v>71.001498047568333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7A2-4343-BBC2-BA8D92AF4B38}"/>
            </c:ext>
          </c:extLst>
        </c:ser>
        <c:ser>
          <c:idx val="3"/>
          <c:order val="3"/>
          <c:tx>
            <c:strRef>
              <c:f>pall!$E$8:$E$10</c:f>
              <c:strCache>
                <c:ptCount val="1"/>
                <c:pt idx="0">
                  <c:v>cfa-ll-share-na - 200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pall!$A$11:$A$16</c:f>
              <c:strCache>
                <c:ptCount val="6"/>
                <c:pt idx="0">
                  <c:v>0.02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0.5</c:v>
                </c:pt>
                <c:pt idx="5">
                  <c:v>0.9</c:v>
                </c:pt>
              </c:strCache>
            </c:strRef>
          </c:cat>
          <c:val>
            <c:numRef>
              <c:f>pall!$E$11:$E$16</c:f>
              <c:numCache>
                <c:formatCode>0.0</c:formatCode>
                <c:ptCount val="6"/>
                <c:pt idx="0">
                  <c:v>64.147113534316858</c:v>
                </c:pt>
                <c:pt idx="1">
                  <c:v>51.075163432073545</c:v>
                </c:pt>
                <c:pt idx="2">
                  <c:v>51.280349725655093</c:v>
                </c:pt>
                <c:pt idx="3">
                  <c:v>52.195777441411352</c:v>
                </c:pt>
                <c:pt idx="4">
                  <c:v>55.003030469695304</c:v>
                </c:pt>
                <c:pt idx="5">
                  <c:v>67.013067077665355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7A2-4343-BBC2-BA8D92AF4B38}"/>
            </c:ext>
          </c:extLst>
        </c:ser>
        <c:ser>
          <c:idx val="4"/>
          <c:order val="4"/>
          <c:tx>
            <c:strRef>
              <c:f>pall!$F$8:$F$10</c:f>
              <c:strCache>
                <c:ptCount val="1"/>
                <c:pt idx="0">
                  <c:v>cfa-ll-share-na - 500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pall!$A$11:$A$16</c:f>
              <c:strCache>
                <c:ptCount val="6"/>
                <c:pt idx="0">
                  <c:v>0.02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0.5</c:v>
                </c:pt>
                <c:pt idx="5">
                  <c:v>0.9</c:v>
                </c:pt>
              </c:strCache>
            </c:strRef>
          </c:cat>
          <c:val>
            <c:numRef>
              <c:f>pall!$F$11:$F$16</c:f>
              <c:numCache>
                <c:formatCode>0.0</c:formatCode>
                <c:ptCount val="6"/>
                <c:pt idx="0">
                  <c:v>114.70248881752494</c:v>
                </c:pt>
                <c:pt idx="1">
                  <c:v>116.46784674507978</c:v>
                </c:pt>
                <c:pt idx="2">
                  <c:v>88.043480940223617</c:v>
                </c:pt>
                <c:pt idx="3">
                  <c:v>89.252110664881741</c:v>
                </c:pt>
                <c:pt idx="4">
                  <c:v>88.285512492275089</c:v>
                </c:pt>
                <c:pt idx="5">
                  <c:v>87.996647602287723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7A2-4343-BBC2-BA8D92AF4B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78978840"/>
        <c:axId val="578977200"/>
      </c:lineChart>
      <c:catAx>
        <c:axId val="5789788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Growth policy threshold</a:t>
                </a:r>
                <a:endParaRPr lang="en-CA" baseline="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8977200"/>
        <c:crosses val="autoZero"/>
        <c:auto val="1"/>
        <c:lblAlgn val="ctr"/>
        <c:lblOffset val="100"/>
        <c:noMultiLvlLbl val="0"/>
      </c:catAx>
      <c:valAx>
        <c:axId val="578977200"/>
        <c:scaling>
          <c:logBase val="2"/>
          <c:orientation val="minMax"/>
          <c:min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per call (ns, mean),  Lower is Better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8978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624833209664257"/>
          <c:y val="0.32927091841112555"/>
          <c:w val="0.17916132203106055"/>
          <c:h val="0.284251524647003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513228</xdr:colOff>
      <xdr:row>0</xdr:row>
      <xdr:rowOff>65483</xdr:rowOff>
    </xdr:from>
    <xdr:to>
      <xdr:col>22</xdr:col>
      <xdr:colOff>166967</xdr:colOff>
      <xdr:row>28</xdr:row>
      <xdr:rowOff>92448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20772ED-E49B-4BBC-A803-110BC377E8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779928</xdr:colOff>
      <xdr:row>6</xdr:row>
      <xdr:rowOff>156882</xdr:rowOff>
    </xdr:from>
    <xdr:to>
      <xdr:col>25</xdr:col>
      <xdr:colOff>89647</xdr:colOff>
      <xdr:row>31</xdr:row>
      <xdr:rowOff>25773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CD1E354-FA2C-4346-BBD1-A5EC2054E6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163604</xdr:colOff>
      <xdr:row>0</xdr:row>
      <xdr:rowOff>0</xdr:rowOff>
    </xdr:from>
    <xdr:to>
      <xdr:col>27</xdr:col>
      <xdr:colOff>291352</xdr:colOff>
      <xdr:row>24</xdr:row>
      <xdr:rowOff>59391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8DA21BE-0E18-4DBC-B49D-8078057E83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908</xdr:colOff>
      <xdr:row>0</xdr:row>
      <xdr:rowOff>0</xdr:rowOff>
    </xdr:from>
    <xdr:to>
      <xdr:col>11</xdr:col>
      <xdr:colOff>537882</xdr:colOff>
      <xdr:row>26</xdr:row>
      <xdr:rowOff>81608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BEF3235-1924-42E8-8375-A89FFEB820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ke" refreshedDate="44595.569577314818" createdVersion="7" refreshedVersion="7" minRefreshableVersion="3" recordCount="30" xr:uid="{E8E90853-4CC4-4AC0-8804-3FA0C1D68AC3}">
  <cacheSource type="worksheet">
    <worksheetSource name="Table1"/>
  </cacheSource>
  <cacheFields count="29">
    <cacheField name="run" numFmtId="0">
      <sharedItems/>
    </cacheField>
    <cacheField name="test@corpus" numFmtId="0">
      <sharedItems/>
    </cacheField>
    <cacheField name="test" numFmtId="0">
      <sharedItems/>
    </cacheField>
    <cacheField name="corpus" numFmtId="0">
      <sharedItems/>
    </cacheField>
    <cacheField name="heapGrowThreshold" numFmtId="0">
      <sharedItems containsSemiMixedTypes="0" containsString="0" containsNumber="1" minValue="0.02" maxValue="0.9" count="6">
        <n v="0.02"/>
        <n v="0.05"/>
        <n v="0.1"/>
        <n v="0.2"/>
        <n v="0.5"/>
        <n v="0.9"/>
      </sharedItems>
    </cacheField>
    <cacheField name="concatsPerReset" numFmtId="0">
      <sharedItems/>
    </cacheField>
    <cacheField name="corpusItemCount" numFmtId="0">
      <sharedItems containsSemiMixedTypes="0" containsString="0" containsNumber="1" containsInteger="1" minValue="1" maxValue="1"/>
    </cacheField>
    <cacheField name="corpusMeanLenChars" numFmtId="0">
      <sharedItems containsSemiMixedTypes="0" containsString="0" containsNumber="1" containsInteger="1" minValue="20" maxValue="500"/>
    </cacheField>
    <cacheField name="concatDoneActualCount" numFmtId="166">
      <sharedItems containsSemiMixedTypes="0" containsString="0" containsNumber="1" containsInteger="1" minValue="85870000" maxValue="266750000"/>
    </cacheField>
    <cacheField name="execTimeActualSec" numFmtId="167">
      <sharedItems containsSemiMixedTypes="0" containsString="0" containsNumber="1" minValue="10.000014999999999" maxValue="10.001094"/>
    </cacheField>
    <cacheField name="test-allvar" numFmtId="0">
      <sharedItems/>
    </cacheField>
    <cacheField name="operation-idx" numFmtId="0">
      <sharedItems containsSemiMixedTypes="0" containsString="0" containsNumber="1" containsInteger="1" minValue="5" maxValue="5"/>
    </cacheField>
    <cacheField name="operation" numFmtId="0">
      <sharedItems count="5">
        <s v="pal"/>
        <s v="peq" u="1"/>
        <e v="#VALUE!" u="1"/>
        <s v="pta" u="1"/>
        <s v="pbv" u="1"/>
      </sharedItems>
    </cacheField>
    <cacheField name="sut" numFmtId="0">
      <sharedItems count="31">
        <s v="cfa-ll-share-na"/>
        <s v="stl" u="1"/>
        <s v="cfa-hl-share-fresh" u="1"/>
        <s v="cfa-ll-share-fresh" u="1"/>
        <s v="stll-na-na-na" u="1"/>
        <s v="cfa-ll-share" u="1"/>
        <s v="stl-na-na-reuse" u="1"/>
        <e v="#VALUE!" u="1"/>
        <s v="stl-na-na-fresh" u="1"/>
        <s v="cfa-hl-noshare-na" u="1"/>
        <s v="cfa-ll-noshare-na" u="1"/>
        <s v="stl-na-na-na" u="1"/>
        <s v="cfa-hl-noshare-reuse" u="1"/>
        <s v="cfa-ll-noshare-reuse" u="1"/>
        <s v="cfa-hl-noshare" u="1"/>
        <s v="cfa10-ll-share-na" u="1"/>
        <s v="stl-fresh" u="1"/>
        <s v="cfa-hl-share-reuse" u="1"/>
        <s v="cfa-ll-share-reuse" u="1"/>
        <s v="buhr94" u="1"/>
        <s v="cfa90-ll-share-na" u="1"/>
        <s v="buhr94-fresh" u="1"/>
        <s v="cfa-hl-share-na" u="1"/>
        <s v="cfa-hl-noshare-fresh" u="1"/>
        <s v="cfa-ll-noshare-fresh" u="1"/>
        <s v="cfa-hl-share" u="1"/>
        <s v="cfa-ll-noshare" u="1"/>
        <s v="stl-fresh--from-cfa" u="1"/>
        <s v="stl-reuse" u="1"/>
        <s v="buhr94-reuse" u="1"/>
        <s v="cfal-ll-share-na" u="1"/>
      </sharedItems>
    </cacheField>
    <cacheField name="sut-platform" numFmtId="0">
      <sharedItems count="8">
        <s v="cfa"/>
        <s v="stl" u="1"/>
        <s v="cfal" u="1"/>
        <e v="#VALUE!" u="1"/>
        <s v="cfa10" u="1"/>
        <s v="stll" u="1"/>
        <s v="buhr94" u="1"/>
        <s v="cfa90" u="1"/>
      </sharedItems>
    </cacheField>
    <cacheField name="sut-cfa-level" numFmtId="0">
      <sharedItems count="10">
        <s v="ll"/>
        <s v="hl" u="1"/>
        <s v="~stl-fresh~" u="1"/>
        <e v="#VALUE!" u="1"/>
        <s v="~na~" u="1"/>
        <s v="~stl-reuse~" u="1"/>
        <s v="~buhr94-reuse~" u="1"/>
        <s v="~buhr94~" u="1"/>
        <s v="~buhr94-fresh~" u="1"/>
        <s v="~stl~" u="1"/>
      </sharedItems>
    </cacheField>
    <cacheField name="suffix-cfa-sharing-alloc" numFmtId="0">
      <sharedItems/>
    </cacheField>
    <cacheField name="sut-cfa-sharing" numFmtId="0">
      <sharedItems count="4">
        <s v="share"/>
        <e v="#VALUE!" u="1"/>
        <s v="~na~" u="1"/>
        <s v="noshare" u="1"/>
      </sharedItems>
    </cacheField>
    <cacheField name="op-alloc" numFmtId="0">
      <sharedItems count="9">
        <s v="na"/>
        <s v="reuse" u="1"/>
        <e v="#VALUE!" u="1"/>
        <s v="eq-fresh" u="1"/>
        <s v="ta-fresh" u="1"/>
        <s v="eq-reuse" u="1"/>
        <s v="ta-reuse" u="1"/>
        <s v="cfa" u="1"/>
        <s v="fresh" u="1"/>
      </sharedItems>
    </cacheField>
    <cacheField name="corpus-varsuffix" numFmtId="0">
      <sharedItems/>
    </cacheField>
    <cacheField name="corpus-allvar" numFmtId="0">
      <sharedItems/>
    </cacheField>
    <cacheField name="corpus-nstrs" numFmtId="0">
      <sharedItems containsSemiMixedTypes="0" containsString="0" containsNumber="1" containsInteger="1" minValue="1" maxValue="100" count="2">
        <n v="1"/>
        <n v="100" u="1"/>
      </sharedItems>
    </cacheField>
    <cacheField name="corpus-varsuffix2" numFmtId="0">
      <sharedItems/>
    </cacheField>
    <cacheField name="corpus-meanlen" numFmtId="0">
      <sharedItems containsSemiMixedTypes="0" containsString="0" containsNumber="1" containsInteger="1" minValue="1" maxValue="500" count="9">
        <n v="20"/>
        <n v="50"/>
        <n v="100"/>
        <n v="200"/>
        <n v="500"/>
        <n v="5" u="1"/>
        <n v="2" u="1"/>
        <n v="1" u="1"/>
        <n v="10" u="1"/>
      </sharedItems>
    </cacheField>
    <cacheField name="corpus-runid" numFmtId="0">
      <sharedItems containsSemiMixedTypes="0" containsString="0" containsNumber="1" containsInteger="1" minValue="1" maxValue="1"/>
    </cacheField>
    <cacheField name="ops-per-sec" numFmtId="164">
      <sharedItems containsSemiMixedTypes="0" containsString="0" containsNumber="1" minValue="8586060.6849610656" maxValue="26674079.744248826"/>
    </cacheField>
    <cacheField name="op-duration" numFmtId="164">
      <sharedItems containsSemiMixedTypes="0" containsString="0" containsNumber="1" minValue="37.489578256794751" maxValue="116.46784674507978"/>
    </cacheField>
    <cacheField name="memrowid" numFmtId="0">
      <sharedItems/>
    </cacheField>
    <cacheField name="mem-amt" numFmtId="0">
      <sharedItems containsSemiMixedTypes="0" containsString="0" containsNumber="1" containsInteger="1" minValue="43966" maxValue="3277996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0">
  <r>
    <s v="measurement-2022-02-02--22-18-20.csv"/>
    <s v="perfexp-cfa-pal-ll-share-na@corpus-1-20-1.txt"/>
    <s v="perfexp-cfa-pal-ll-share-na"/>
    <s v="corpus-1-20-1.txt"/>
    <x v="0"/>
    <s v="xxx"/>
    <n v="1"/>
    <n v="20"/>
    <n v="266750000"/>
    <n v="10.000344999999999"/>
    <s v="cfa-pal-ll-share-na"/>
    <n v="5"/>
    <x v="0"/>
    <x v="0"/>
    <x v="0"/>
    <x v="0"/>
    <s v="share-na"/>
    <x v="0"/>
    <x v="0"/>
    <s v="1-20-1.txt"/>
    <s v="1-20-1"/>
    <x v="0"/>
    <s v="20-1"/>
    <x v="0"/>
    <n v="1"/>
    <n v="26674079.744248826"/>
    <n v="37.489578256794751"/>
    <s v="20-0.02"/>
    <n v="1035966"/>
  </r>
  <r>
    <s v="measurement-2022-02-02--22-18-20.csv"/>
    <s v="perfexp-cfa-pal-ll-share-na@corpus-1-20-1.txt"/>
    <s v="perfexp-cfa-pal-ll-share-na"/>
    <s v="corpus-1-20-1.txt"/>
    <x v="1"/>
    <s v="xxx"/>
    <n v="1"/>
    <n v="20"/>
    <n v="266150000"/>
    <n v="10.000287999999999"/>
    <s v="cfa-pal-ll-share-na"/>
    <n v="5"/>
    <x v="0"/>
    <x v="0"/>
    <x v="0"/>
    <x v="0"/>
    <s v="share-na"/>
    <x v="0"/>
    <x v="0"/>
    <s v="1-20-1.txt"/>
    <s v="1-20-1"/>
    <x v="0"/>
    <s v="20-1"/>
    <x v="0"/>
    <n v="1"/>
    <n v="26614233.51007491"/>
    <n v="37.573879391320681"/>
    <s v="20-0.05"/>
    <n v="523966"/>
  </r>
  <r>
    <s v="measurement-2022-02-02--22-18-20.csv"/>
    <s v="perfexp-cfa-pal-ll-share-na@corpus-1-20-1.txt"/>
    <s v="perfexp-cfa-pal-ll-share-na"/>
    <s v="corpus-1-20-1.txt"/>
    <x v="2"/>
    <s v="xxx"/>
    <n v="1"/>
    <n v="20"/>
    <n v="261320000"/>
    <n v="10.000342"/>
    <s v="cfa-pal-ll-share-na"/>
    <n v="5"/>
    <x v="0"/>
    <x v="0"/>
    <x v="0"/>
    <x v="0"/>
    <s v="share-na"/>
    <x v="0"/>
    <x v="0"/>
    <s v="1-20-1.txt"/>
    <s v="1-20-1"/>
    <x v="0"/>
    <s v="20-1"/>
    <x v="0"/>
    <n v="1"/>
    <n v="26131106.316163987"/>
    <n v="38.268567273840496"/>
    <s v="20-0.1"/>
    <n v="267966"/>
  </r>
  <r>
    <s v="measurement-2022-02-02--22-18-20.csv"/>
    <s v="perfexp-cfa-pal-ll-share-na@corpus-1-20-1.txt"/>
    <s v="perfexp-cfa-pal-ll-share-na"/>
    <s v="corpus-1-20-1.txt"/>
    <x v="3"/>
    <s v="xxx"/>
    <n v="1"/>
    <n v="20"/>
    <n v="260830000"/>
    <n v="10.000373"/>
    <s v="cfa-pal-ll-share-na"/>
    <n v="5"/>
    <x v="0"/>
    <x v="0"/>
    <x v="0"/>
    <x v="0"/>
    <s v="share-na"/>
    <x v="0"/>
    <x v="0"/>
    <s v="1-20-1.txt"/>
    <s v="1-20-1"/>
    <x v="0"/>
    <s v="20-1"/>
    <x v="0"/>
    <n v="1"/>
    <n v="26082027.140387665"/>
    <n v="38.340578154353409"/>
    <s v="20-0.2"/>
    <n v="139966"/>
  </r>
  <r>
    <s v="measurement-2022-02-02--22-18-20.csv"/>
    <s v="perfexp-cfa-pal-ll-share-na@corpus-1-20-1.txt"/>
    <s v="perfexp-cfa-pal-ll-share-na"/>
    <s v="corpus-1-20-1.txt"/>
    <x v="4"/>
    <s v="xxx"/>
    <n v="1"/>
    <n v="20"/>
    <n v="244180000"/>
    <n v="10.000201000000001"/>
    <s v="cfa-pal-ll-share-na"/>
    <n v="5"/>
    <x v="0"/>
    <x v="0"/>
    <x v="0"/>
    <x v="0"/>
    <s v="share-na"/>
    <x v="0"/>
    <x v="0"/>
    <s v="1-20-1.txt"/>
    <s v="1-20-1"/>
    <x v="0"/>
    <s v="20-1"/>
    <x v="0"/>
    <n v="1"/>
    <n v="24417509.208064917"/>
    <n v="40.954218199688761"/>
    <s v="20-0.5"/>
    <n v="75966"/>
  </r>
  <r>
    <s v="measurement-2022-02-02--22-18-20.csv"/>
    <s v="perfexp-cfa-pal-ll-share-na@corpus-1-20-1.txt"/>
    <s v="perfexp-cfa-pal-ll-share-na"/>
    <s v="corpus-1-20-1.txt"/>
    <x v="5"/>
    <s v="xxx"/>
    <n v="1"/>
    <n v="20"/>
    <n v="203880000"/>
    <n v="10.000106000000001"/>
    <s v="cfa-pal-ll-share-na"/>
    <n v="5"/>
    <x v="0"/>
    <x v="0"/>
    <x v="0"/>
    <x v="0"/>
    <s v="share-na"/>
    <x v="0"/>
    <x v="0"/>
    <s v="1-20-1.txt"/>
    <s v="1-20-1"/>
    <x v="0"/>
    <s v="20-1"/>
    <x v="0"/>
    <n v="1"/>
    <n v="20387783.889490768"/>
    <n v="49.04897979203453"/>
    <s v="20-0.9"/>
    <n v="43966"/>
  </r>
  <r>
    <s v="measurement-2022-02-02--22-33-38.csv"/>
    <s v="perfexp-cfa-pal-ll-share-na@corpus-1-50-1.txt"/>
    <s v="perfexp-cfa-pal-ll-share-na"/>
    <s v="corpus-1-50-1.txt"/>
    <x v="0"/>
    <s v="xxx"/>
    <n v="1"/>
    <n v="50"/>
    <n v="254680000"/>
    <n v="10.000083"/>
    <s v="cfa-pal-ll-share-na"/>
    <n v="5"/>
    <x v="0"/>
    <x v="0"/>
    <x v="0"/>
    <x v="0"/>
    <s v="share-na"/>
    <x v="0"/>
    <x v="0"/>
    <s v="1-50-1.txt"/>
    <s v="1-50-1"/>
    <x v="0"/>
    <s v="50-1"/>
    <x v="1"/>
    <n v="1"/>
    <n v="25467788.617354475"/>
    <n v="39.265285848908434"/>
    <s v="50-0.02"/>
    <n v="4107966"/>
  </r>
  <r>
    <s v="measurement-2022-02-02--22-33-38.csv"/>
    <s v="perfexp-cfa-pal-ll-share-na@corpus-1-50-1.txt"/>
    <s v="perfexp-cfa-pal-ll-share-na"/>
    <s v="corpus-1-50-1.txt"/>
    <x v="1"/>
    <s v="xxx"/>
    <n v="1"/>
    <n v="50"/>
    <n v="255110000"/>
    <n v="10.000045999999999"/>
    <s v="cfa-pal-ll-share-na"/>
    <n v="5"/>
    <x v="0"/>
    <x v="0"/>
    <x v="0"/>
    <x v="0"/>
    <s v="share-na"/>
    <x v="0"/>
    <x v="0"/>
    <s v="1-50-1.txt"/>
    <s v="1-50-1"/>
    <x v="0"/>
    <s v="50-1"/>
    <x v="1"/>
    <n v="1"/>
    <n v="25510882.649939813"/>
    <n v="39.198957312531846"/>
    <s v="50-0.05"/>
    <n v="1035966"/>
  </r>
  <r>
    <s v="measurement-2022-02-02--22-33-38.csv"/>
    <s v="perfexp-cfa-pal-ll-share-na@corpus-1-50-1.txt"/>
    <s v="perfexp-cfa-pal-ll-share-na"/>
    <s v="corpus-1-50-1.txt"/>
    <x v="2"/>
    <s v="xxx"/>
    <n v="1"/>
    <n v="50"/>
    <n v="250770000"/>
    <n v="10.000318999999999"/>
    <s v="cfa-pal-ll-share-na"/>
    <n v="5"/>
    <x v="0"/>
    <x v="0"/>
    <x v="0"/>
    <x v="0"/>
    <s v="share-na"/>
    <x v="0"/>
    <x v="0"/>
    <s v="1-50-1.txt"/>
    <s v="1-50-1"/>
    <x v="0"/>
    <s v="50-1"/>
    <x v="1"/>
    <n v="1"/>
    <n v="25076200.069217794"/>
    <n v="39.878450372851617"/>
    <s v="50-0.1"/>
    <n v="523966"/>
  </r>
  <r>
    <s v="measurement-2022-02-02--22-33-38.csv"/>
    <s v="perfexp-cfa-pal-ll-share-na@corpus-1-50-1.txt"/>
    <s v="perfexp-cfa-pal-ll-share-na"/>
    <s v="corpus-1-50-1.txt"/>
    <x v="3"/>
    <s v="xxx"/>
    <n v="1"/>
    <n v="50"/>
    <n v="199020000"/>
    <n v="10.000203000000001"/>
    <s v="cfa-pal-ll-share-na"/>
    <n v="5"/>
    <x v="0"/>
    <x v="0"/>
    <x v="0"/>
    <x v="0"/>
    <s v="share-na"/>
    <x v="0"/>
    <x v="0"/>
    <s v="1-50-1.txt"/>
    <s v="1-50-1"/>
    <x v="0"/>
    <s v="50-1"/>
    <x v="1"/>
    <n v="1"/>
    <n v="19901595.997601248"/>
    <n v="50.247226409406096"/>
    <s v="50-0.2"/>
    <n v="267966"/>
  </r>
  <r>
    <s v="measurement-2022-02-02--22-33-38.csv"/>
    <s v="perfexp-cfa-pal-ll-share-na@corpus-1-50-1.txt"/>
    <s v="perfexp-cfa-pal-ll-share-na"/>
    <s v="corpus-1-50-1.txt"/>
    <x v="4"/>
    <s v="xxx"/>
    <n v="1"/>
    <n v="50"/>
    <n v="227630000"/>
    <n v="10.000235"/>
    <s v="cfa-pal-ll-share-na"/>
    <n v="5"/>
    <x v="0"/>
    <x v="0"/>
    <x v="0"/>
    <x v="0"/>
    <s v="share-na"/>
    <x v="0"/>
    <x v="0"/>
    <s v="1-50-1.txt"/>
    <s v="1-50-1"/>
    <x v="0"/>
    <s v="50-1"/>
    <x v="1"/>
    <n v="1"/>
    <n v="22762465.08207057"/>
    <n v="43.931972938540611"/>
    <s v="50-0.5"/>
    <n v="139966"/>
  </r>
  <r>
    <s v="measurement-2022-02-02--22-33-38.csv"/>
    <s v="perfexp-cfa-pal-ll-share-na@corpus-1-50-1.txt"/>
    <s v="perfexp-cfa-pal-ll-share-na"/>
    <s v="corpus-1-50-1.txt"/>
    <x v="5"/>
    <s v="xxx"/>
    <n v="1"/>
    <n v="50"/>
    <n v="179660000"/>
    <n v="10.000283"/>
    <s v="cfa-pal-ll-share-na"/>
    <n v="5"/>
    <x v="0"/>
    <x v="0"/>
    <x v="0"/>
    <x v="0"/>
    <s v="share-na"/>
    <x v="0"/>
    <x v="0"/>
    <s v="1-50-1.txt"/>
    <s v="1-50-1"/>
    <x v="0"/>
    <s v="50-1"/>
    <x v="1"/>
    <n v="1"/>
    <n v="17965491.576588385"/>
    <n v="55.662267616609149"/>
    <s v="50-0.9"/>
    <n v="75966"/>
  </r>
  <r>
    <s v="measurement-2022-02-02--22-18-20.csv"/>
    <s v="perfexp-cfa-pal-ll-share-na@corpus-1-100-1.txt"/>
    <s v="perfexp-cfa-pal-ll-share-na"/>
    <s v="corpus-1-100-1.txt"/>
    <x v="0"/>
    <s v="xxx"/>
    <n v="1"/>
    <n v="100"/>
    <n v="202180000"/>
    <n v="10.000014999999999"/>
    <s v="cfa-pal-ll-share-na"/>
    <n v="5"/>
    <x v="0"/>
    <x v="0"/>
    <x v="0"/>
    <x v="0"/>
    <s v="share-na"/>
    <x v="0"/>
    <x v="0"/>
    <s v="1-100-1.txt"/>
    <s v="1-100-1"/>
    <x v="0"/>
    <s v="100-1"/>
    <x v="2"/>
    <n v="1"/>
    <n v="20217969.67304549"/>
    <n v="49.460950638045304"/>
    <s v="100-0.02"/>
    <n v="8203966"/>
  </r>
  <r>
    <s v="measurement-2022-02-02--22-18-20.csv"/>
    <s v="perfexp-cfa-pal-ll-share-na@corpus-1-100-1.txt"/>
    <s v="perfexp-cfa-pal-ll-share-na"/>
    <s v="corpus-1-100-1.txt"/>
    <x v="1"/>
    <s v="xxx"/>
    <n v="1"/>
    <n v="100"/>
    <n v="192840000"/>
    <n v="10.000189000000001"/>
    <s v="cfa-pal-ll-share-na"/>
    <n v="5"/>
    <x v="0"/>
    <x v="0"/>
    <x v="0"/>
    <x v="0"/>
    <s v="share-na"/>
    <x v="0"/>
    <x v="0"/>
    <s v="1-100-1.txt"/>
    <s v="1-100-1"/>
    <x v="0"/>
    <s v="100-1"/>
    <x v="2"/>
    <n v="1"/>
    <n v="19283635.539288305"/>
    <n v="51.857441402198717"/>
    <s v="100-0.05"/>
    <n v="2059966"/>
  </r>
  <r>
    <s v="measurement-2022-02-02--22-18-20.csv"/>
    <s v="perfexp-cfa-pal-ll-share-na@corpus-1-100-1.txt"/>
    <s v="perfexp-cfa-pal-ll-share-na"/>
    <s v="corpus-1-100-1.txt"/>
    <x v="2"/>
    <s v="xxx"/>
    <n v="1"/>
    <n v="100"/>
    <n v="196240000"/>
    <n v="10.000149"/>
    <s v="cfa-pal-ll-share-na"/>
    <n v="5"/>
    <x v="0"/>
    <x v="0"/>
    <x v="0"/>
    <x v="0"/>
    <s v="share-na"/>
    <x v="0"/>
    <x v="0"/>
    <s v="1-100-1.txt"/>
    <s v="1-100-1"/>
    <x v="0"/>
    <s v="100-1"/>
    <x v="2"/>
    <n v="1"/>
    <n v="19623707.606756657"/>
    <n v="50.958769873624135"/>
    <s v="100-0.1"/>
    <n v="1035966"/>
  </r>
  <r>
    <s v="measurement-2022-02-02--22-18-20.csv"/>
    <s v="perfexp-cfa-pal-ll-share-na@corpus-1-100-1.txt"/>
    <s v="perfexp-cfa-pal-ll-share-na"/>
    <s v="corpus-1-100-1.txt"/>
    <x v="3"/>
    <s v="xxx"/>
    <n v="1"/>
    <n v="100"/>
    <n v="180160000"/>
    <n v="10.000173999999999"/>
    <s v="cfa-pal-ll-share-na"/>
    <n v="5"/>
    <x v="0"/>
    <x v="0"/>
    <x v="0"/>
    <x v="0"/>
    <s v="share-na"/>
    <x v="0"/>
    <x v="0"/>
    <s v="1-100-1.txt"/>
    <s v="1-100-1"/>
    <x v="0"/>
    <s v="100-1"/>
    <x v="2"/>
    <n v="1"/>
    <n v="18015686.527054429"/>
    <n v="55.507182504440493"/>
    <s v="100-0.2"/>
    <n v="523966"/>
  </r>
  <r>
    <s v="measurement-2022-02-02--22-18-20.csv"/>
    <s v="perfexp-cfa-pal-ll-share-na@corpus-1-100-1.txt"/>
    <s v="perfexp-cfa-pal-ll-share-na"/>
    <s v="corpus-1-100-1.txt"/>
    <x v="4"/>
    <s v="xxx"/>
    <n v="1"/>
    <n v="100"/>
    <n v="179330000"/>
    <n v="10.000429"/>
    <s v="cfa-pal-ll-share-na"/>
    <n v="5"/>
    <x v="0"/>
    <x v="0"/>
    <x v="0"/>
    <x v="0"/>
    <s v="share-na"/>
    <x v="0"/>
    <x v="0"/>
    <s v="1-100-1.txt"/>
    <s v="1-100-1"/>
    <x v="0"/>
    <s v="100-1"/>
    <x v="2"/>
    <n v="1"/>
    <n v="17932230.707302656"/>
    <n v="55.765510511347799"/>
    <s v="100-0.5"/>
    <n v="267966"/>
  </r>
  <r>
    <s v="measurement-2022-02-02--22-18-20.csv"/>
    <s v="perfexp-cfa-pal-ll-share-na@corpus-1-100-1.txt"/>
    <s v="perfexp-cfa-pal-ll-share-na"/>
    <s v="corpus-1-100-1.txt"/>
    <x v="5"/>
    <s v="xxx"/>
    <n v="1"/>
    <n v="100"/>
    <n v="140850000"/>
    <n v="10.000560999999999"/>
    <s v="cfa-pal-ll-share-na"/>
    <n v="5"/>
    <x v="0"/>
    <x v="0"/>
    <x v="0"/>
    <x v="0"/>
    <s v="share-na"/>
    <x v="0"/>
    <x v="0"/>
    <s v="1-100-1.txt"/>
    <s v="1-100-1"/>
    <x v="0"/>
    <s v="100-1"/>
    <x v="2"/>
    <n v="1"/>
    <n v="14084209.875825968"/>
    <n v="71.001498047568333"/>
    <s v="100-0.9"/>
    <n v="139966"/>
  </r>
  <r>
    <s v="measurement-2022-02-02--22-33-38.csv"/>
    <s v="perfexp-cfa-pal-ll-share-na@corpus-1-200-1.txt"/>
    <s v="perfexp-cfa-pal-ll-share-na"/>
    <s v="corpus-1-200-1.txt"/>
    <x v="0"/>
    <s v="xxx"/>
    <n v="1"/>
    <n v="200"/>
    <n v="155900000"/>
    <n v="10.000534999999999"/>
    <s v="cfa-pal-ll-share-na"/>
    <n v="5"/>
    <x v="0"/>
    <x v="0"/>
    <x v="0"/>
    <x v="0"/>
    <s v="share-na"/>
    <x v="0"/>
    <x v="0"/>
    <s v="1-200-1.txt"/>
    <s v="1-200-1"/>
    <x v="0"/>
    <s v="200-1"/>
    <x v="3"/>
    <n v="1"/>
    <n v="15589165.979620092"/>
    <n v="64.147113534316858"/>
    <s v="200-0.02"/>
    <n v="16395966"/>
  </r>
  <r>
    <s v="measurement-2022-02-02--22-33-38.csv"/>
    <s v="perfexp-cfa-pal-ll-share-na@corpus-1-200-1.txt"/>
    <s v="perfexp-cfa-pal-ll-share-na"/>
    <s v="corpus-1-200-1.txt"/>
    <x v="1"/>
    <s v="xxx"/>
    <n v="1"/>
    <n v="200"/>
    <n v="195800000"/>
    <n v="10.000517"/>
    <s v="cfa-pal-ll-share-na"/>
    <n v="5"/>
    <x v="0"/>
    <x v="0"/>
    <x v="0"/>
    <x v="0"/>
    <s v="share-na"/>
    <x v="0"/>
    <x v="0"/>
    <s v="1-200-1.txt"/>
    <s v="1-200-1"/>
    <x v="0"/>
    <s v="200-1"/>
    <x v="3"/>
    <n v="1"/>
    <n v="19578987.766332481"/>
    <n v="51.075163432073545"/>
    <s v="200-0.05"/>
    <n v="4107966"/>
  </r>
  <r>
    <s v="measurement-2022-02-02--22-33-38.csv"/>
    <s v="perfexp-cfa-pal-ll-share-na@corpus-1-200-1.txt"/>
    <s v="perfexp-cfa-pal-ll-share-na"/>
    <s v="corpus-1-200-1.txt"/>
    <x v="2"/>
    <s v="xxx"/>
    <n v="1"/>
    <n v="200"/>
    <n v="195010000"/>
    <n v="10.000181"/>
    <s v="cfa-pal-ll-share-na"/>
    <n v="5"/>
    <x v="0"/>
    <x v="0"/>
    <x v="0"/>
    <x v="0"/>
    <s v="share-na"/>
    <x v="0"/>
    <x v="0"/>
    <s v="1-200-1.txt"/>
    <s v="1-200-1"/>
    <x v="0"/>
    <s v="200-1"/>
    <x v="3"/>
    <n v="1"/>
    <n v="19500647.038288608"/>
    <n v="51.280349725655093"/>
    <s v="200-0.1"/>
    <n v="2059966"/>
  </r>
  <r>
    <s v="measurement-2022-02-02--22-33-38.csv"/>
    <s v="perfexp-cfa-pal-ll-share-na@corpus-1-200-1.txt"/>
    <s v="perfexp-cfa-pal-ll-share-na"/>
    <s v="corpus-1-200-1.txt"/>
    <x v="3"/>
    <s v="xxx"/>
    <n v="1"/>
    <n v="200"/>
    <n v="191590000"/>
    <n v="10.000189000000001"/>
    <s v="cfa-pal-ll-share-na"/>
    <n v="5"/>
    <x v="0"/>
    <x v="0"/>
    <x v="0"/>
    <x v="0"/>
    <s v="share-na"/>
    <x v="0"/>
    <x v="0"/>
    <s v="1-200-1.txt"/>
    <s v="1-200-1"/>
    <x v="0"/>
    <s v="200-1"/>
    <x v="3"/>
    <n v="1"/>
    <n v="19158637.901743654"/>
    <n v="52.195777441411352"/>
    <s v="200-0.2"/>
    <n v="1035966"/>
  </r>
  <r>
    <s v="measurement-2022-02-02--22-33-38.csv"/>
    <s v="perfexp-cfa-pal-ll-share-na@corpus-1-200-1.txt"/>
    <s v="perfexp-cfa-pal-ll-share-na"/>
    <s v="corpus-1-200-1.txt"/>
    <x v="4"/>
    <s v="xxx"/>
    <n v="1"/>
    <n v="200"/>
    <n v="181820000"/>
    <n v="10.000651"/>
    <s v="cfa-pal-ll-share-na"/>
    <n v="5"/>
    <x v="0"/>
    <x v="0"/>
    <x v="0"/>
    <x v="0"/>
    <s v="share-na"/>
    <x v="0"/>
    <x v="0"/>
    <s v="1-200-1.txt"/>
    <s v="1-200-1"/>
    <x v="0"/>
    <s v="200-1"/>
    <x v="3"/>
    <n v="1"/>
    <n v="18180816.428850483"/>
    <n v="55.003030469695304"/>
    <s v="200-0.5"/>
    <n v="523966"/>
  </r>
  <r>
    <s v="measurement-2022-02-02--22-33-38.csv"/>
    <s v="perfexp-cfa-pal-ll-share-na@corpus-1-200-1.txt"/>
    <s v="perfexp-cfa-pal-ll-share-na"/>
    <s v="corpus-1-200-1.txt"/>
    <x v="5"/>
    <s v="xxx"/>
    <n v="1"/>
    <n v="200"/>
    <n v="149230000"/>
    <n v="10.000360000000001"/>
    <s v="cfa-pal-ll-share-na"/>
    <n v="5"/>
    <x v="0"/>
    <x v="0"/>
    <x v="0"/>
    <x v="0"/>
    <s v="share-na"/>
    <x v="0"/>
    <x v="0"/>
    <s v="1-200-1.txt"/>
    <s v="1-200-1"/>
    <x v="0"/>
    <s v="200-1"/>
    <x v="3"/>
    <n v="1"/>
    <n v="14922462.791339511"/>
    <n v="67.013067077665355"/>
    <s v="200-0.9"/>
    <n v="267966"/>
  </r>
  <r>
    <s v="measurement-2022-02-02--22-18-20.csv"/>
    <s v="perfexp-cfa-pal-ll-share-na@corpus-1-500-1.txt"/>
    <s v="perfexp-cfa-pal-ll-share-na"/>
    <s v="corpus-1-500-1.txt"/>
    <x v="0"/>
    <s v="xxx"/>
    <n v="1"/>
    <n v="500"/>
    <n v="87190000"/>
    <n v="10.000909999999999"/>
    <s v="cfa-pal-ll-share-na"/>
    <n v="5"/>
    <x v="0"/>
    <x v="0"/>
    <x v="0"/>
    <x v="0"/>
    <s v="share-na"/>
    <x v="0"/>
    <x v="0"/>
    <s v="1-500-1.txt"/>
    <s v="1-500-1"/>
    <x v="0"/>
    <s v="500-1"/>
    <x v="4"/>
    <n v="1"/>
    <n v="8718206.6431954689"/>
    <n v="114.70248881752494"/>
    <s v="500-0.02"/>
    <n v="32779966"/>
  </r>
  <r>
    <s v="measurement-2022-02-02--22-18-20.csv"/>
    <s v="perfexp-cfa-pal-ll-share-na@corpus-1-500-1.txt"/>
    <s v="perfexp-cfa-pal-ll-share-na"/>
    <s v="corpus-1-500-1.txt"/>
    <x v="1"/>
    <s v="xxx"/>
    <n v="1"/>
    <n v="500"/>
    <n v="85870000"/>
    <n v="10.001094"/>
    <s v="cfa-pal-ll-share-na"/>
    <n v="5"/>
    <x v="0"/>
    <x v="0"/>
    <x v="0"/>
    <x v="0"/>
    <s v="share-na"/>
    <x v="0"/>
    <x v="0"/>
    <s v="1-500-1.txt"/>
    <s v="1-500-1"/>
    <x v="0"/>
    <s v="500-1"/>
    <x v="4"/>
    <n v="1"/>
    <n v="8586060.6849610656"/>
    <n v="116.46784674507978"/>
    <s v="500-0.05"/>
    <n v="16395966"/>
  </r>
  <r>
    <s v="measurement-2022-02-02--22-18-20.csv"/>
    <s v="perfexp-cfa-pal-ll-share-na@corpus-1-500-1.txt"/>
    <s v="perfexp-cfa-pal-ll-share-na"/>
    <s v="corpus-1-500-1.txt"/>
    <x v="2"/>
    <s v="xxx"/>
    <n v="1"/>
    <n v="500"/>
    <n v="113590000"/>
    <n v="10.000859"/>
    <s v="cfa-pal-ll-share-na"/>
    <n v="5"/>
    <x v="0"/>
    <x v="0"/>
    <x v="0"/>
    <x v="0"/>
    <s v="share-na"/>
    <x v="0"/>
    <x v="0"/>
    <s v="1-500-1.txt"/>
    <s v="1-500-1"/>
    <x v="0"/>
    <s v="500-1"/>
    <x v="4"/>
    <n v="1"/>
    <n v="11358024.345708704"/>
    <n v="88.043480940223617"/>
    <s v="500-0.1"/>
    <n v="8203966"/>
  </r>
  <r>
    <s v="measurement-2022-02-02--22-18-20.csv"/>
    <s v="perfexp-cfa-pal-ll-share-na@corpus-1-500-1.txt"/>
    <s v="perfexp-cfa-pal-ll-share-na"/>
    <s v="corpus-1-500-1.txt"/>
    <x v="3"/>
    <s v="xxx"/>
    <n v="1"/>
    <n v="500"/>
    <n v="112050000"/>
    <n v="10.000698999999999"/>
    <s v="cfa-pal-ll-share-na"/>
    <n v="5"/>
    <x v="0"/>
    <x v="0"/>
    <x v="0"/>
    <x v="0"/>
    <s v="share-na"/>
    <x v="0"/>
    <x v="0"/>
    <s v="1-500-1.txt"/>
    <s v="1-500-1"/>
    <x v="0"/>
    <s v="500-1"/>
    <x v="4"/>
    <n v="1"/>
    <n v="11204216.825243916"/>
    <n v="89.252110664881741"/>
    <s v="500-0.2"/>
    <n v="4107966"/>
  </r>
  <r>
    <s v="measurement-2022-02-02--22-18-20.csv"/>
    <s v="perfexp-cfa-pal-ll-share-na@corpus-1-500-1.txt"/>
    <s v="perfexp-cfa-pal-ll-share-na"/>
    <s v="corpus-1-500-1.txt"/>
    <x v="4"/>
    <s v="xxx"/>
    <n v="1"/>
    <n v="500"/>
    <n v="113270000"/>
    <n v="10.0001"/>
    <s v="cfa-pal-ll-share-na"/>
    <n v="5"/>
    <x v="0"/>
    <x v="0"/>
    <x v="0"/>
    <x v="0"/>
    <s v="share-na"/>
    <x v="0"/>
    <x v="0"/>
    <s v="1-500-1.txt"/>
    <s v="1-500-1"/>
    <x v="0"/>
    <s v="500-1"/>
    <x v="4"/>
    <n v="1"/>
    <n v="11326886.73113269"/>
    <n v="88.285512492275089"/>
    <s v="500-0.5"/>
    <n v="1035966"/>
  </r>
  <r>
    <s v="measurement-2022-02-02--22-18-20.csv"/>
    <s v="perfexp-cfa-pal-ll-share-na@corpus-1-500-1.txt"/>
    <s v="perfexp-cfa-pal-ll-share-na"/>
    <s v="corpus-1-500-1.txt"/>
    <x v="5"/>
    <s v="xxx"/>
    <n v="1"/>
    <n v="500"/>
    <n v="113650000"/>
    <n v="10.000819"/>
    <s v="cfa-pal-ll-share-na"/>
    <n v="5"/>
    <x v="0"/>
    <x v="0"/>
    <x v="0"/>
    <x v="0"/>
    <s v="share-na"/>
    <x v="0"/>
    <x v="0"/>
    <s v="1-500-1.txt"/>
    <s v="1-500-1"/>
    <x v="0"/>
    <s v="500-1"/>
    <x v="4"/>
    <n v="1"/>
    <n v="11364069.282725744"/>
    <n v="87.996647602287723"/>
    <s v="500-0.9"/>
    <n v="103596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B2EC316-4EF6-4EA6-AD3D-64AB8A5E787A}" name="PivotTable1" cacheId="3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7" indent="0" outline="1" outlineData="1" multipleFieldFilters="0" chartFormat="4">
  <location ref="A8:G16" firstHeaderRow="1" firstDataRow="3" firstDataCol="1" rowPageCount="6" colPageCount="1"/>
  <pivotFields count="29">
    <pivotField showAll="0"/>
    <pivotField showAll="0"/>
    <pivotField showAll="0"/>
    <pivotField showAll="0"/>
    <pivotField axis="axisRow" showAll="0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axis="axisPage" showAll="0">
      <items count="6">
        <item m="1" x="1"/>
        <item m="1" x="3"/>
        <item m="1" x="2"/>
        <item m="1" x="4"/>
        <item x="0"/>
        <item t="default"/>
      </items>
    </pivotField>
    <pivotField axis="axisCol" showAll="0">
      <items count="32">
        <item m="1" x="19"/>
        <item m="1" x="14"/>
        <item m="1" x="25"/>
        <item m="1" x="26"/>
        <item m="1" x="5"/>
        <item m="1" x="1"/>
        <item m="1" x="17"/>
        <item m="1" x="2"/>
        <item m="1" x="12"/>
        <item m="1" x="23"/>
        <item m="1" x="18"/>
        <item m="1" x="3"/>
        <item m="1" x="13"/>
        <item m="1" x="24"/>
        <item m="1" x="28"/>
        <item m="1" x="16"/>
        <item m="1" x="29"/>
        <item m="1" x="21"/>
        <item m="1" x="7"/>
        <item m="1" x="27"/>
        <item x="0"/>
        <item m="1" x="10"/>
        <item m="1" x="11"/>
        <item m="1" x="22"/>
        <item m="1" x="9"/>
        <item m="1" x="6"/>
        <item m="1" x="8"/>
        <item m="1" x="4"/>
        <item m="1" x="30"/>
        <item m="1" x="15"/>
        <item m="1" x="20"/>
        <item t="default"/>
      </items>
    </pivotField>
    <pivotField axis="axisPage" multipleItemSelectionAllowed="1" showAll="0">
      <items count="9">
        <item h="1" m="1" x="6"/>
        <item x="0"/>
        <item m="1" x="1"/>
        <item h="1" m="1" x="3"/>
        <item h="1" m="1" x="5"/>
        <item h="1" m="1" x="2"/>
        <item m="1" x="4"/>
        <item m="1" x="7"/>
        <item t="default"/>
      </items>
    </pivotField>
    <pivotField axis="axisPage" multipleItemSelectionAllowed="1" showAll="0">
      <items count="11">
        <item m="1" x="7"/>
        <item m="1" x="9"/>
        <item m="1" x="1"/>
        <item x="0"/>
        <item h="1" m="1" x="5"/>
        <item h="1" m="1" x="2"/>
        <item h="1" m="1" x="6"/>
        <item h="1" m="1" x="8"/>
        <item m="1" x="4"/>
        <item m="1" x="3"/>
        <item t="default"/>
      </items>
    </pivotField>
    <pivotField showAll="0"/>
    <pivotField axis="axisPage" multipleItemSelectionAllowed="1" showAll="0">
      <items count="5">
        <item m="1" x="2"/>
        <item m="1" x="3"/>
        <item x="0"/>
        <item h="1" m="1" x="1"/>
        <item t="default"/>
      </items>
    </pivotField>
    <pivotField axis="axisPage" showAll="0">
      <items count="10">
        <item m="1" x="3"/>
        <item m="1" x="5"/>
        <item m="1" x="8"/>
        <item m="1" x="1"/>
        <item m="1" x="4"/>
        <item m="1" x="6"/>
        <item m="1" x="2"/>
        <item m="1" x="7"/>
        <item x="0"/>
        <item t="default"/>
      </items>
    </pivotField>
    <pivotField showAll="0"/>
    <pivotField showAll="0"/>
    <pivotField axis="axisPage" showAll="0">
      <items count="3">
        <item x="0"/>
        <item m="1" x="1"/>
        <item t="default"/>
      </items>
    </pivotField>
    <pivotField showAll="0"/>
    <pivotField axis="axisCol" showAll="0">
      <items count="10">
        <item m="1" x="7"/>
        <item m="1" x="6"/>
        <item m="1" x="5"/>
        <item m="1" x="8"/>
        <item x="0"/>
        <item x="1"/>
        <item x="2"/>
        <item x="3"/>
        <item x="4"/>
        <item t="default"/>
      </items>
    </pivotField>
    <pivotField showAll="0"/>
    <pivotField numFmtId="164" showAll="0"/>
    <pivotField dataField="1" showAll="0"/>
    <pivotField showAll="0"/>
    <pivotField showAll="0"/>
  </pivotFields>
  <rowFields count="1">
    <field x="4"/>
  </rowFields>
  <rowItems count="6">
    <i>
      <x/>
    </i>
    <i>
      <x v="1"/>
    </i>
    <i>
      <x v="2"/>
    </i>
    <i>
      <x v="3"/>
    </i>
    <i>
      <x v="4"/>
    </i>
    <i>
      <x v="5"/>
    </i>
  </rowItems>
  <colFields count="2">
    <field x="13"/>
    <field x="23"/>
  </colFields>
  <colItems count="6">
    <i>
      <x v="20"/>
      <x v="4"/>
    </i>
    <i r="1">
      <x v="5"/>
    </i>
    <i r="1">
      <x v="6"/>
    </i>
    <i r="1">
      <x v="7"/>
    </i>
    <i r="1">
      <x v="8"/>
    </i>
    <i t="default">
      <x v="20"/>
    </i>
  </colItems>
  <pageFields count="6">
    <pageField fld="12" item="4" hier="-1"/>
    <pageField fld="15" hier="-1"/>
    <pageField fld="18" hier="-1"/>
    <pageField fld="17" hier="-1"/>
    <pageField fld="14" hier="-1"/>
    <pageField fld="21" item="0" hier="-1"/>
  </pageFields>
  <dataFields count="1">
    <dataField name="Average of op-duration" fld="26" subtotal="average" baseField="19" baseItem="0" numFmtId="164"/>
  </dataFields>
  <chartFormats count="33">
    <chartFormat chart="2" format="17" series="1">
      <pivotArea type="data" outline="0" fieldPosition="0">
        <references count="1">
          <reference field="13" count="1" selected="0">
            <x v="0"/>
          </reference>
        </references>
      </pivotArea>
    </chartFormat>
    <chartFormat chart="2" format="18" series="1">
      <pivotArea type="data" outline="0" fieldPosition="0">
        <references count="1">
          <reference field="13" count="1" selected="0">
            <x v="1"/>
          </reference>
        </references>
      </pivotArea>
    </chartFormat>
    <chartFormat chart="2" format="19" series="1">
      <pivotArea type="data" outline="0" fieldPosition="0">
        <references count="1">
          <reference field="13" count="1" selected="0">
            <x v="2"/>
          </reference>
        </references>
      </pivotArea>
    </chartFormat>
    <chartFormat chart="2" format="20" series="1">
      <pivotArea type="data" outline="0" fieldPosition="0">
        <references count="1">
          <reference field="13" count="1" selected="0">
            <x v="3"/>
          </reference>
        </references>
      </pivotArea>
    </chartFormat>
    <chartFormat chart="2" format="21" series="1">
      <pivotArea type="data" outline="0" fieldPosition="0">
        <references count="1">
          <reference field="13" count="1" selected="0">
            <x v="4"/>
          </reference>
        </references>
      </pivotArea>
    </chartFormat>
    <chartFormat chart="2" format="22" series="1">
      <pivotArea type="data" outline="0" fieldPosition="0">
        <references count="1">
          <reference field="13" count="1" selected="0">
            <x v="5"/>
          </reference>
        </references>
      </pivotArea>
    </chartFormat>
    <chartFormat chart="2" format="23" series="1">
      <pivotArea type="data" outline="0" fieldPosition="0">
        <references count="2">
          <reference field="4294967294" count="1" selected="0">
            <x v="0"/>
          </reference>
          <reference field="13" count="1" selected="0">
            <x v="5"/>
          </reference>
        </references>
      </pivotArea>
    </chartFormat>
    <chartFormat chart="2" format="24" series="1">
      <pivotArea type="data" outline="0" fieldPosition="0">
        <references count="2">
          <reference field="4294967294" count="1" selected="0">
            <x v="0"/>
          </reference>
          <reference field="13" count="1" selected="0">
            <x v="0"/>
          </reference>
        </references>
      </pivotArea>
    </chartFormat>
    <chartFormat chart="2" format="25" series="1">
      <pivotArea type="data" outline="0" fieldPosition="0">
        <references count="2">
          <reference field="4294967294" count="1" selected="0">
            <x v="0"/>
          </reference>
          <reference field="13" count="1" selected="0">
            <x v="3"/>
          </reference>
        </references>
      </pivotArea>
    </chartFormat>
    <chartFormat chart="2" format="26" series="1">
      <pivotArea type="data" outline="0" fieldPosition="0">
        <references count="2">
          <reference field="4294967294" count="1" selected="0">
            <x v="0"/>
          </reference>
          <reference field="13" count="1" selected="0">
            <x v="4"/>
          </reference>
        </references>
      </pivotArea>
    </chartFormat>
    <chartFormat chart="2" format="27" series="1">
      <pivotArea type="data" outline="0" fieldPosition="0">
        <references count="2">
          <reference field="4294967294" count="1" selected="0">
            <x v="0"/>
          </reference>
          <reference field="13" count="1" selected="0">
            <x v="10"/>
          </reference>
        </references>
      </pivotArea>
    </chartFormat>
    <chartFormat chart="2" format="28" series="1">
      <pivotArea type="data" outline="0" fieldPosition="0">
        <references count="2">
          <reference field="4294967294" count="1" selected="0">
            <x v="0"/>
          </reference>
          <reference field="13" count="1" selected="0">
            <x v="11"/>
          </reference>
        </references>
      </pivotArea>
    </chartFormat>
    <chartFormat chart="2" format="29" series="1">
      <pivotArea type="data" outline="0" fieldPosition="0">
        <references count="2">
          <reference field="4294967294" count="1" selected="0">
            <x v="0"/>
          </reference>
          <reference field="13" count="1" selected="0">
            <x v="12"/>
          </reference>
        </references>
      </pivotArea>
    </chartFormat>
    <chartFormat chart="2" format="30" series="1">
      <pivotArea type="data" outline="0" fieldPosition="0">
        <references count="2">
          <reference field="4294967294" count="1" selected="0">
            <x v="0"/>
          </reference>
          <reference field="13" count="1" selected="0">
            <x v="13"/>
          </reference>
        </references>
      </pivotArea>
    </chartFormat>
    <chartFormat chart="2" format="39" series="1">
      <pivotArea type="data" outline="0" fieldPosition="0">
        <references count="2">
          <reference field="4294967294" count="1" selected="0">
            <x v="0"/>
          </reference>
          <reference field="13" count="1" selected="0">
            <x v="14"/>
          </reference>
        </references>
      </pivotArea>
    </chartFormat>
    <chartFormat chart="2" format="41" series="1">
      <pivotArea type="data" outline="0" fieldPosition="0">
        <references count="2">
          <reference field="4294967294" count="1" selected="0">
            <x v="0"/>
          </reference>
          <reference field="13" count="1" selected="0">
            <x v="15"/>
          </reference>
        </references>
      </pivotArea>
    </chartFormat>
    <chartFormat chart="2" format="43" series="1">
      <pivotArea type="data" outline="0" fieldPosition="0">
        <references count="2">
          <reference field="4294967294" count="1" selected="0">
            <x v="0"/>
          </reference>
          <reference field="13" count="1" selected="0">
            <x v="16"/>
          </reference>
        </references>
      </pivotArea>
    </chartFormat>
    <chartFormat chart="2" format="45" series="1">
      <pivotArea type="data" outline="0" fieldPosition="0">
        <references count="2">
          <reference field="4294967294" count="1" selected="0">
            <x v="0"/>
          </reference>
          <reference field="13" count="1" selected="0">
            <x v="17"/>
          </reference>
        </references>
      </pivotArea>
    </chartFormat>
    <chartFormat chart="2" format="47" series="1">
      <pivotArea type="data" outline="0" fieldPosition="0">
        <references count="2">
          <reference field="4294967294" count="1" selected="0">
            <x v="0"/>
          </reference>
          <reference field="13" count="1" selected="0">
            <x v="19"/>
          </reference>
        </references>
      </pivotArea>
    </chartFormat>
    <chartFormat chart="2" format="48" series="1">
      <pivotArea type="data" outline="0" fieldPosition="0">
        <references count="2">
          <reference field="4294967294" count="1" selected="0">
            <x v="0"/>
          </reference>
          <reference field="13" count="1" selected="0">
            <x v="21"/>
          </reference>
        </references>
      </pivotArea>
    </chartFormat>
    <chartFormat chart="2" format="49" series="1">
      <pivotArea type="data" outline="0" fieldPosition="0">
        <references count="2">
          <reference field="4294967294" count="1" selected="0">
            <x v="0"/>
          </reference>
          <reference field="13" count="1" selected="0">
            <x v="22"/>
          </reference>
        </references>
      </pivotArea>
    </chartFormat>
    <chartFormat chart="2" format="50" series="1">
      <pivotArea type="data" outline="0" fieldPosition="0">
        <references count="2">
          <reference field="4294967294" count="1" selected="0">
            <x v="0"/>
          </reference>
          <reference field="13" count="1" selected="0">
            <x v="20"/>
          </reference>
        </references>
      </pivotArea>
    </chartFormat>
    <chartFormat chart="3" format="51" series="1">
      <pivotArea type="data" outline="0" fieldPosition="0">
        <references count="2">
          <reference field="4294967294" count="1" selected="0">
            <x v="0"/>
          </reference>
          <reference field="13" count="1" selected="0">
            <x v="20"/>
          </reference>
        </references>
      </pivotArea>
    </chartFormat>
    <chartFormat chart="3" format="52" series="1">
      <pivotArea type="data" outline="0" fieldPosition="0">
        <references count="2">
          <reference field="4294967294" count="1" selected="0">
            <x v="0"/>
          </reference>
          <reference field="13" count="1" selected="0">
            <x v="21"/>
          </reference>
        </references>
      </pivotArea>
    </chartFormat>
    <chartFormat chart="3" format="53" series="1">
      <pivotArea type="data" outline="0" fieldPosition="0">
        <references count="2">
          <reference field="4294967294" count="1" selected="0">
            <x v="0"/>
          </reference>
          <reference field="13" count="1" selected="0">
            <x v="22"/>
          </reference>
        </references>
      </pivotArea>
    </chartFormat>
    <chartFormat chart="3" format="5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55" series="1">
      <pivotArea type="data" outline="0" fieldPosition="0">
        <references count="2">
          <reference field="4294967294" count="1" selected="0">
            <x v="0"/>
          </reference>
          <reference field="13" count="1" selected="0">
            <x v="29"/>
          </reference>
        </references>
      </pivotArea>
    </chartFormat>
    <chartFormat chart="3" format="56" series="1">
      <pivotArea type="data" outline="0" fieldPosition="0">
        <references count="2">
          <reference field="4294967294" count="1" selected="0">
            <x v="0"/>
          </reference>
          <reference field="13" count="1" selected="0">
            <x v="30"/>
          </reference>
        </references>
      </pivotArea>
    </chartFormat>
    <chartFormat chart="3" format="57" series="1">
      <pivotArea type="data" outline="0" fieldPosition="0">
        <references count="3">
          <reference field="4294967294" count="1" selected="0">
            <x v="0"/>
          </reference>
          <reference field="13" count="1" selected="0">
            <x v="20"/>
          </reference>
          <reference field="23" count="1" selected="0">
            <x v="6"/>
          </reference>
        </references>
      </pivotArea>
    </chartFormat>
    <chartFormat chart="3" format="58" series="1">
      <pivotArea type="data" outline="0" fieldPosition="0">
        <references count="3">
          <reference field="4294967294" count="1" selected="0">
            <x v="0"/>
          </reference>
          <reference field="13" count="1" selected="0">
            <x v="20"/>
          </reference>
          <reference field="23" count="1" selected="0">
            <x v="8"/>
          </reference>
        </references>
      </pivotArea>
    </chartFormat>
    <chartFormat chart="3" format="59" series="1">
      <pivotArea type="data" outline="0" fieldPosition="0">
        <references count="3">
          <reference field="4294967294" count="1" selected="0">
            <x v="0"/>
          </reference>
          <reference field="13" count="1" selected="0">
            <x v="20"/>
          </reference>
          <reference field="23" count="1" selected="0">
            <x v="7"/>
          </reference>
        </references>
      </pivotArea>
    </chartFormat>
    <chartFormat chart="3" format="60" series="1">
      <pivotArea type="data" outline="0" fieldPosition="0">
        <references count="3">
          <reference field="4294967294" count="1" selected="0">
            <x v="0"/>
          </reference>
          <reference field="13" count="1" selected="0">
            <x v="20"/>
          </reference>
          <reference field="23" count="1" selected="0">
            <x v="4"/>
          </reference>
        </references>
      </pivotArea>
    </chartFormat>
    <chartFormat chart="3" format="61" series="1">
      <pivotArea type="data" outline="0" fieldPosition="0">
        <references count="3">
          <reference field="4294967294" count="1" selected="0">
            <x v="0"/>
          </reference>
          <reference field="13" count="1" selected="0">
            <x v="20"/>
          </reference>
          <reference field="23" count="1" selected="0">
            <x v="5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BFA0142-C739-4781-9A04-D9E3F1A90BF9}" name="PivotTable1" cacheId="3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7" indent="0" outline="1" outlineData="1" multipleFieldFilters="0">
  <location ref="A4:D6" firstHeaderRow="1" firstDataRow="2" firstDataCol="3" rowPageCount="2" colPageCount="1"/>
  <pivotFields count="29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outline="0" showAll="0" defaultSubtotal="0">
      <items count="5">
        <item m="1" x="4"/>
        <item m="1" x="1"/>
        <item m="1" x="3"/>
        <item m="1" x="2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howAll="0"/>
    <pivotField axis="axisPage" showAll="0">
      <items count="9">
        <item m="1" x="6"/>
        <item x="0"/>
        <item m="1" x="1"/>
        <item m="1" x="3"/>
        <item m="1" x="5"/>
        <item m="1" x="2"/>
        <item m="1" x="4"/>
        <item m="1" x="7"/>
        <item t="default"/>
      </items>
    </pivotField>
    <pivotField axis="axisCol" showAll="0">
      <items count="11">
        <item m="1" x="7"/>
        <item m="1" x="8"/>
        <item m="1" x="6"/>
        <item m="1" x="4"/>
        <item m="1" x="9"/>
        <item m="1" x="2"/>
        <item m="1" x="5"/>
        <item m="1" x="1"/>
        <item x="0"/>
        <item m="1" x="3"/>
        <item t="default"/>
      </items>
    </pivotField>
    <pivotField showAll="0"/>
    <pivotField axis="axisRow" outline="0" showAll="0" defaultSubtotal="0">
      <items count="4">
        <item m="1" x="2"/>
        <item m="1" x="3"/>
        <item x="0"/>
        <item m="1"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10">
        <item m="1" x="7"/>
        <item m="1" x="3"/>
        <item m="1" x="5"/>
        <item m="1" x="8"/>
        <item x="0"/>
        <item m="1" x="1"/>
        <item m="1" x="4"/>
        <item m="1" x="6"/>
        <item m="1" x="2"/>
        <item t="default"/>
      </items>
    </pivotField>
    <pivotField showAll="0"/>
    <pivotField showAll="0"/>
    <pivotField showAll="0"/>
    <pivotField showAll="0"/>
    <pivotField axis="axisPage" showAll="0">
      <items count="10">
        <item m="1" x="7"/>
        <item m="1" x="6"/>
        <item m="1" x="5"/>
        <item m="1" x="8"/>
        <item x="0"/>
        <item x="1"/>
        <item x="2"/>
        <item x="3"/>
        <item x="4"/>
        <item t="default"/>
      </items>
    </pivotField>
    <pivotField showAll="0"/>
    <pivotField numFmtId="164" showAll="0"/>
    <pivotField dataField="1" numFmtId="164" showAll="0"/>
    <pivotField showAll="0"/>
    <pivotField showAll="0"/>
  </pivotFields>
  <rowFields count="3">
    <field x="12"/>
    <field x="17"/>
    <field x="18"/>
  </rowFields>
  <rowItems count="1">
    <i>
      <x v="4"/>
      <x v="2"/>
      <x v="4"/>
    </i>
  </rowItems>
  <colFields count="1">
    <field x="15"/>
  </colFields>
  <colItems count="1">
    <i>
      <x v="8"/>
    </i>
  </colItems>
  <pageFields count="2">
    <pageField fld="14" item="1" hier="-1"/>
    <pageField fld="23" item="4" hier="-1"/>
  </pageFields>
  <dataFields count="1">
    <dataField name="Sum of op-duration" fld="26" baseField="17" baseItem="4" numFmtId="164"/>
  </dataFields>
  <formats count="1">
    <format dxfId="34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6A5C2B8-E1FD-4551-BB21-D1550FB25CB4}" name="Table1" displayName="Table1" ref="A1:AH31" totalsRowShown="0">
  <autoFilter ref="A1:AH31" xr:uid="{86A5C2B8-E1FD-4551-BB21-D1550FB25CB4}"/>
  <sortState xmlns:xlrd2="http://schemas.microsoft.com/office/spreadsheetml/2017/richdata2" ref="A2:AC31">
    <sortCondition ref="H1:H31"/>
  </sortState>
  <tableColumns count="34">
    <tableColumn id="18" xr3:uid="{C63AB96F-6F61-4940-A5E0-E7CB89B836E4}" name="run" dataDxfId="116"/>
    <tableColumn id="17" xr3:uid="{C4075FED-4B66-475D-A066-F74DE5F9E916}" name="test@corpus" dataDxfId="115">
      <calculatedColumnFormula>Table1[[#This Row],[test]]&amp;"@"&amp;Table1[[#This Row],[corpus]]</calculatedColumnFormula>
    </tableColumn>
    <tableColumn id="1" xr3:uid="{18CA0476-C990-426C-9AEC-588C53431F57}" name="test" dataDxfId="114"/>
    <tableColumn id="2" xr3:uid="{28DFDDD9-778E-4DF9-BB3F-C8F13F66538A}" name="corpus" dataDxfId="113"/>
    <tableColumn id="21" xr3:uid="{0420336D-62E8-4A6B-BCAE-B7D934225BE2}" name="heapGrowThreshold" dataDxfId="112"/>
    <tableColumn id="27" xr3:uid="{6A3ABBEF-5963-478F-BAAD-FA6840C1057B}" name="concatsPerReset" dataDxfId="111"/>
    <tableColumn id="28" xr3:uid="{88B25B2F-DE88-4339-9A2D-43252399D13E}" name="corpusItemCount" dataDxfId="110"/>
    <tableColumn id="29" xr3:uid="{F8367A93-431A-4A6D-89A7-6DBE6AC99439}" name="corpusMeanLenChars" dataDxfId="109"/>
    <tableColumn id="26" xr3:uid="{C38A8655-4695-4582-B5EC-E6AE03AA0744}" name="concatDoneActualCount" dataDxfId="108" dataCellStyle="Comma"/>
    <tableColumn id="3" xr3:uid="{55435C75-7F15-473D-9D26-B7A9FC7236C2}" name="execTimeActualSec" dataDxfId="107" dataCellStyle="Comma"/>
    <tableColumn id="4" xr3:uid="{74DC9A5D-D9E4-4A48-BD81-30F059DE6FCD}" name="test-allvar" dataDxfId="106">
      <calculatedColumnFormula>MID(Table1[[#This Row],[test]], LEN("perfexp-")+1, 9999)</calculatedColumnFormula>
    </tableColumn>
    <tableColumn id="5" xr3:uid="{16C94125-088E-43A8-8F0C-2BAB2134A7DF}" name="operation-idx" dataDxfId="105">
      <calculatedColumnFormula>FIND("-p", Table1[[#This Row],[test-allvar]])+LEN("-")</calculatedColumnFormula>
    </tableColumn>
    <tableColumn id="6" xr3:uid="{B9808139-89EE-4AE0-B3E0-D77022DA5F95}" name="operation" dataDxfId="104">
      <calculatedColumnFormula>MID(Table1[[#This Row],[test-allvar]], Table1[[#This Row],[operation-idx]], LEN("pta"))</calculatedColumnFormula>
    </tableColumn>
    <tableColumn id="7" xr3:uid="{C55BA695-C4F9-4304-9AE4-5380C26A6443}" name="sut" dataDxfId="103">
      <calculatedColumnFormula>LEFT(Table1[[#This Row],[test-allvar]], Table1[[#This Row],[operation-idx]]-LEN("-")-1) &amp; MID(Table1[[#This Row],[test-allvar]], Table1[[#This Row],[operation-idx]]+LEN(Table1[[#This Row],[operation]]), 9999)</calculatedColumnFormula>
    </tableColumn>
    <tableColumn id="8" xr3:uid="{3C8DE995-D2E3-4B5A-9F73-3BF2F875AB0D}" name="sut-platform" dataDxfId="102">
      <calculatedColumnFormula>IFERROR( LEFT(Table1[[#This Row],[sut]], FIND("-", Table1[[#This Row],[sut]])-1), Table1[[#This Row],[sut]])</calculatedColumnFormula>
    </tableColumn>
    <tableColumn id="9" xr3:uid="{AB7F57B2-AFD4-4136-9B79-D185553407C1}" name="sut-cfa-level" dataDxfId="101">
      <calculatedColumnFormula>IF(Table1[[#This Row],[sut-platform]]="cfa", MID(Table1[[#This Row],[sut]], 5, 2), "~na~")</calculatedColumnFormula>
    </tableColumn>
    <tableColumn id="19" xr3:uid="{06EBE42C-019B-4E60-B677-4A9D20BA9DB3}" name="suffix-cfa-sharing-alloc" dataDxfId="100">
      <calculatedColumnFormula>IF(Table1[[#This Row],[sut-platform]]="cfa", MID(Table1[[#This Row],[sut]], 8, 999), Table1[[#This Row],[sut-cfa-level]])</calculatedColumnFormula>
    </tableColumn>
    <tableColumn id="10" xr3:uid="{6E71661A-3DF6-4B74-BE7F-F65CB911DE83}" name="sut-cfa-sharing" dataDxfId="99">
      <calculatedColumnFormula>IF(Table1[[#This Row],[sut-platform]]="cfa", LEFT(Table1[[#This Row],[suffix-cfa-sharing-alloc]], FIND("-",Table1[[#This Row],[suffix-cfa-sharing-alloc]])-1), "~na~")</calculatedColumnFormula>
    </tableColumn>
    <tableColumn id="20" xr3:uid="{CC06D1F6-EB51-4495-927C-27588D104EAD}" name="op-alloc" dataDxfId="98">
      <calculatedColumnFormula>RIGHT(Table1[[#This Row],[test-allvar]],LEN(Table1[[#This Row],[test-allvar]])-FIND("@",SUBSTITUTE(Table1[[#This Row],[test-allvar]],"-","@",LEN(Table1[[#This Row],[test-allvar]])-LEN(SUBSTITUTE(Table1[[#This Row],[test-allvar]],"-",""))),1))</calculatedColumnFormula>
    </tableColumn>
    <tableColumn id="11" xr3:uid="{52D8C625-44AC-4F16-9D00-C189F626CDED}" name="corpus-varsuffix" dataDxfId="97">
      <calculatedColumnFormula>MID(Table1[[#This Row],[corpus]], LEN("corpus-")+1, 999)</calculatedColumnFormula>
    </tableColumn>
    <tableColumn id="12" xr3:uid="{AA818417-A6C4-455C-9C12-EE8206DD9269}" name="corpus-allvar" dataDxfId="96">
      <calculatedColumnFormula>LEFT(Table1[[#This Row],[corpus-varsuffix]], FIND(".txt", Table1[[#This Row],[corpus-varsuffix]])-1)</calculatedColumnFormula>
    </tableColumn>
    <tableColumn id="13" xr3:uid="{B57A209E-B979-4A83-BE27-E0C855CBCCE9}" name="corpus-nstrs" dataDxfId="95">
      <calculatedColumnFormula>INT(LEFT(Table1[[#This Row],[corpus-allvar]], FIND("-", Table1[[#This Row],[corpus-varsuffix]])-1))</calculatedColumnFormula>
    </tableColumn>
    <tableColumn id="14" xr3:uid="{12A98597-36D2-4752-9A77-4E0A7E266990}" name="corpus-varsuffix2" dataDxfId="94">
      <calculatedColumnFormula>MID(Table1[[#This Row],[corpus-allvar]], LEN(Table1[[#This Row],[corpus-nstrs]])+2, 999)</calculatedColumnFormula>
    </tableColumn>
    <tableColumn id="15" xr3:uid="{B27C6121-63CB-4980-B4A0-BE71F90B2787}" name="corpus-meanlen" dataDxfId="93">
      <calculatedColumnFormula>INT(LEFT(Table1[[#This Row],[corpus-varsuffix2]], FIND("-", Table1[[#This Row],[corpus-varsuffix2]])-1))</calculatedColumnFormula>
    </tableColumn>
    <tableColumn id="16" xr3:uid="{A2D3C956-91F3-4ED3-AE30-A675AFC1D500}" name="corpus-runid" dataDxfId="92">
      <calculatedColumnFormula>INT(MID(Table1[[#This Row],[corpus-varsuffix2]], LEN(Table1[[#This Row],[corpus-meanlen]])+2, 999))</calculatedColumnFormula>
    </tableColumn>
    <tableColumn id="24" xr3:uid="{37BE305E-E30A-43B1-872B-D709FDDD831B}" name="ops-per-sec" dataDxfId="91">
      <calculatedColumnFormula>Table1[[#This Row],[concatDoneActualCount]]/Table1[[#This Row],[execTimeActualSec]]</calculatedColumnFormula>
    </tableColumn>
    <tableColumn id="25" xr3:uid="{B1E63CE4-9CF1-4F73-8959-12B7F0353120}" name="op-duration" dataDxfId="90">
      <calculatedColumnFormula>CONVERT(Table1[[#This Row],[execTimeActualSec]]/Table1[[#This Row],[concatDoneActualCount]], "s", "ns")</calculatedColumnFormula>
    </tableColumn>
    <tableColumn id="22" xr3:uid="{1A40107A-1C57-4386-809E-7BD8E03DBC83}" name="memrowid" dataDxfId="89">
      <calculatedColumnFormula>Table1[[#This Row],[corpus-meanlen]]&amp;"-"&amp;Table1[[#This Row],[heapGrowThreshold]]</calculatedColumnFormula>
    </tableColumn>
    <tableColumn id="23" xr3:uid="{C2EFE2F4-DEF1-4C43-B438-E79123860A60}" name="mem-amt" dataDxfId="88">
      <calculatedColumnFormula>INDEX(importmem[seclast_req_mem], MATCH(Table1[[#This Row],[memrowid]], importmem[rowid], 0))</calculatedColumnFormula>
    </tableColumn>
    <tableColumn id="30" xr3:uid="{6E7CD84F-C012-4433-A28F-5C20A381A56B}" name="mem20" dataDxfId="87">
      <calculatedColumnFormula>IF(Table1[[#This Row],[corpusMeanLenChars]]=20, Table1[[#This Row],[mem-amt]], "")</calculatedColumnFormula>
    </tableColumn>
    <tableColumn id="31" xr3:uid="{1BCFF9A0-A976-40BF-8891-D1AA4E5FBD23}" name="mem50" dataDxfId="86">
      <calculatedColumnFormula>IF(Table1[[#This Row],[corpusMeanLenChars]]=50, Table1[[#This Row],[mem-amt]], "")</calculatedColumnFormula>
    </tableColumn>
    <tableColumn id="32" xr3:uid="{63805023-B91B-46B7-A7C3-26B6B36A5A1C}" name="mem100" dataDxfId="85">
      <calculatedColumnFormula>IF(Table1[[#This Row],[corpusMeanLenChars]]=100, Table1[[#This Row],[mem-amt]], "")</calculatedColumnFormula>
    </tableColumn>
    <tableColumn id="33" xr3:uid="{57CC69AE-35D2-4835-AAB4-36332B8E8058}" name="mem200" dataDxfId="84">
      <calculatedColumnFormula>IF(Table1[[#This Row],[corpusMeanLenChars]]=200, Table1[[#This Row],[mem-amt]], "")</calculatedColumnFormula>
    </tableColumn>
    <tableColumn id="34" xr3:uid="{07F43AD3-E634-41B2-BA11-860F8C50D290}" name="mem500" dataDxfId="83">
      <calculatedColumnFormula>IF(Table1[[#This Row],[corpusMeanLenChars]]=500, Table1[[#This Row],[mem-amt]], "")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E33B67B-2548-4010-8DCD-08E0FF07CE9D}" name="Table15" displayName="Table15" ref="A1:AH33" totalsRowShown="0">
  <autoFilter ref="A1:AH33" xr:uid="{86A5C2B8-E1FD-4551-BB21-D1550FB25CB4}"/>
  <sortState xmlns:xlrd2="http://schemas.microsoft.com/office/spreadsheetml/2017/richdata2" ref="A2:AC32">
    <sortCondition ref="H1:H32"/>
  </sortState>
  <tableColumns count="34">
    <tableColumn id="18" xr3:uid="{8A1C99E3-F943-4537-B42D-58B6256FA4B3}" name="run" dataDxfId="82"/>
    <tableColumn id="17" xr3:uid="{4A0779CE-EFAB-4B10-B01D-65D41E5439E9}" name="test@corpus" dataDxfId="81">
      <calculatedColumnFormula>Table15[[#This Row],[test]]&amp;"@"&amp;Table15[[#This Row],[corpus]]</calculatedColumnFormula>
    </tableColumn>
    <tableColumn id="1" xr3:uid="{474A9601-9FAE-49FA-8389-261E2E5E3996}" name="test" dataDxfId="80"/>
    <tableColumn id="2" xr3:uid="{6D595E7F-C711-491C-83A9-2395ED7ECDB2}" name="corpus" dataDxfId="79"/>
    <tableColumn id="21" xr3:uid="{26E3329B-74AE-4C53-8D02-2877C6FF6D25}" name="heapGrowThreshold" dataDxfId="78"/>
    <tableColumn id="27" xr3:uid="{AA48657A-EBAF-4D3B-9B0C-6B645F13892C}" name="concatsPerReset" dataDxfId="77"/>
    <tableColumn id="28" xr3:uid="{2AB50207-266D-49F9-B3C6-85E42CC57C2D}" name="corpusItemCount" dataDxfId="76"/>
    <tableColumn id="29" xr3:uid="{5AE0FDBD-E089-4FF8-B619-A0FF34326294}" name="corpusMeanLenChars" dataDxfId="75"/>
    <tableColumn id="26" xr3:uid="{DE097FF7-CA57-421E-975F-04D925C4B23A}" name="concatDoneActualCount" dataDxfId="74" dataCellStyle="Comma"/>
    <tableColumn id="3" xr3:uid="{C00107CD-0458-4A35-93E6-63445587741E}" name="execTimeActualSec" dataDxfId="73" dataCellStyle="Comma"/>
    <tableColumn id="4" xr3:uid="{FABF9626-AE95-4944-B194-6EC9EF4E87B2}" name="test-allvar" dataDxfId="72">
      <calculatedColumnFormula>MID(Table15[[#This Row],[test]], LEN("perfexp-")+1, 9999)</calculatedColumnFormula>
    </tableColumn>
    <tableColumn id="5" xr3:uid="{38A0372D-DC44-4274-8373-DF8D3017B89B}" name="operation-idx" dataDxfId="71">
      <calculatedColumnFormula>FIND("-p", Table15[[#This Row],[test-allvar]])+LEN("-")</calculatedColumnFormula>
    </tableColumn>
    <tableColumn id="6" xr3:uid="{B36F08DA-ED3B-45A0-8A9B-1796EE6CE111}" name="operation" dataDxfId="70">
      <calculatedColumnFormula>MID(Table15[[#This Row],[test-allvar]], Table15[[#This Row],[operation-idx]], LEN("pta"))</calculatedColumnFormula>
    </tableColumn>
    <tableColumn id="7" xr3:uid="{B91DE67C-769F-45F4-98A5-516B0C52C007}" name="sut" dataDxfId="69">
      <calculatedColumnFormula>LEFT(Table15[[#This Row],[test-allvar]], Table15[[#This Row],[operation-idx]]-LEN("-")-1) &amp; MID(Table15[[#This Row],[test-allvar]], Table15[[#This Row],[operation-idx]]+LEN(Table15[[#This Row],[operation]]), 9999)</calculatedColumnFormula>
    </tableColumn>
    <tableColumn id="8" xr3:uid="{7A76E1C0-13D2-41D2-AB72-9B491A2A41C0}" name="sut-platform" dataDxfId="68">
      <calculatedColumnFormula>IFERROR( LEFT(Table15[[#This Row],[sut]], FIND("-", Table15[[#This Row],[sut]])-1), Table15[[#This Row],[sut]])</calculatedColumnFormula>
    </tableColumn>
    <tableColumn id="9" xr3:uid="{09F84709-84DC-4327-9F56-4B390512F4BA}" name="sut-cfa-level" dataDxfId="67">
      <calculatedColumnFormula>IF(Table15[[#This Row],[sut-platform]]="cfa", MID(Table15[[#This Row],[sut]], 5, 2), "~na~")</calculatedColumnFormula>
    </tableColumn>
    <tableColumn id="19" xr3:uid="{F8A45B47-8CE0-4C70-9C1B-8DFAEA38F933}" name="suffix-cfa-sharing-alloc" dataDxfId="66">
      <calculatedColumnFormula>IF(Table15[[#This Row],[sut-platform]]="cfa", MID(Table15[[#This Row],[sut]], 8, 999), Table15[[#This Row],[sut-cfa-level]])</calculatedColumnFormula>
    </tableColumn>
    <tableColumn id="10" xr3:uid="{9612EF72-5530-4C69-938E-BE0CB33D5B7C}" name="sut-cfa-sharing" dataDxfId="65">
      <calculatedColumnFormula>IF(Table15[[#This Row],[sut-platform]]="cfa", LEFT(Table15[[#This Row],[suffix-cfa-sharing-alloc]], FIND("-",Table15[[#This Row],[suffix-cfa-sharing-alloc]])-1), "~na~")</calculatedColumnFormula>
    </tableColumn>
    <tableColumn id="20" xr3:uid="{80F4C810-F2C3-414B-B591-2298AFBF5AC0}" name="op-alloc" dataDxfId="64">
      <calculatedColumnFormula>RIGHT(Table15[[#This Row],[test-allvar]],LEN(Table15[[#This Row],[test-allvar]])-FIND("@",SUBSTITUTE(Table15[[#This Row],[test-allvar]],"-","@",LEN(Table15[[#This Row],[test-allvar]])-LEN(SUBSTITUTE(Table15[[#This Row],[test-allvar]],"-",""))),1))</calculatedColumnFormula>
    </tableColumn>
    <tableColumn id="11" xr3:uid="{3ADA4190-F7BD-4E37-AD2C-D1C6AE2565A3}" name="corpus-varsuffix" dataDxfId="63">
      <calculatedColumnFormula>MID(Table15[[#This Row],[corpus]], LEN("corpus-")+1, 999)</calculatedColumnFormula>
    </tableColumn>
    <tableColumn id="12" xr3:uid="{6A09443F-7F99-4E24-AAAC-0A5EFABAEB0C}" name="corpus-allvar" dataDxfId="62">
      <calculatedColumnFormula>LEFT(Table15[[#This Row],[corpus-varsuffix]], FIND(".txt", Table15[[#This Row],[corpus-varsuffix]])-1)</calculatedColumnFormula>
    </tableColumn>
    <tableColumn id="13" xr3:uid="{C427AF8B-17F3-49F3-91A9-380B6D8BE24D}" name="corpus-nstrs" dataDxfId="61">
      <calculatedColumnFormula>INT(LEFT(Table15[[#This Row],[corpus-allvar]], FIND("-", Table15[[#This Row],[corpus-varsuffix]])-1))</calculatedColumnFormula>
    </tableColumn>
    <tableColumn id="14" xr3:uid="{76C71B02-4CAE-468B-9B4A-C92CE397017B}" name="corpus-varsuffix2" dataDxfId="60">
      <calculatedColumnFormula>MID(Table15[[#This Row],[corpus-allvar]], LEN(Table15[[#This Row],[corpus-nstrs]])+2, 999)</calculatedColumnFormula>
    </tableColumn>
    <tableColumn id="15" xr3:uid="{6F748166-9515-49C6-A89F-551416C3E4FD}" name="corpus-meanlen" dataDxfId="59">
      <calculatedColumnFormula>INT(LEFT(Table15[[#This Row],[corpus-varsuffix2]], FIND("-", Table15[[#This Row],[corpus-varsuffix2]])-1))</calculatedColumnFormula>
    </tableColumn>
    <tableColumn id="16" xr3:uid="{09272A90-43FD-45C2-BAFD-F12B6715C630}" name="corpus-runid" dataDxfId="58">
      <calculatedColumnFormula>INT(MID(Table15[[#This Row],[corpus-varsuffix2]], LEN(Table15[[#This Row],[corpus-meanlen]])+2, 999))</calculatedColumnFormula>
    </tableColumn>
    <tableColumn id="24" xr3:uid="{71B08342-F8CB-4964-9C09-DCE3562D3241}" name="ops-per-sec" dataDxfId="57">
      <calculatedColumnFormula>Table15[[#This Row],[concatDoneActualCount]]/Table15[[#This Row],[execTimeActualSec]]</calculatedColumnFormula>
    </tableColumn>
    <tableColumn id="25" xr3:uid="{9C3FC6F9-AB3B-4B94-AF14-7C7F29CF73DF}" name="op-duration" dataDxfId="56">
      <calculatedColumnFormula>CONVERT(Table15[[#This Row],[execTimeActualSec]]/Table15[[#This Row],[concatDoneActualCount]], "s", "ns")</calculatedColumnFormula>
    </tableColumn>
    <tableColumn id="22" xr3:uid="{7970753F-9700-4E26-9420-466C9537C1FA}" name="memrowid" dataDxfId="55">
      <calculatedColumnFormula>Table15[[#This Row],[corpus-meanlen]]&amp;"-"&amp;Table15[[#This Row],[heapGrowThreshold]]</calculatedColumnFormula>
    </tableColumn>
    <tableColumn id="23" xr3:uid="{A3FDA2C6-4C8E-48F2-8537-27E055EC43D0}" name="mem-amt" dataDxfId="54">
      <calculatedColumnFormula>INDEX(importmem[seclast_req_mem], MATCH(Table15[[#This Row],[memrowid]], importmem[rowid], 0))</calculatedColumnFormula>
    </tableColumn>
    <tableColumn id="30" xr3:uid="{08A542F2-8823-4749-9739-370E284F07B2}" name="mem20" dataDxfId="53">
      <calculatedColumnFormula>IF(Table15[[#This Row],[corpusMeanLenChars]]=20, Table15[[#This Row],[mem-amt]], "")</calculatedColumnFormula>
    </tableColumn>
    <tableColumn id="31" xr3:uid="{AC59A741-2774-47D3-B95A-233D07E0D6F7}" name="mem50" dataDxfId="52">
      <calculatedColumnFormula>IF(Table15[[#This Row],[corpusMeanLenChars]]=50, Table15[[#This Row],[mem-amt]], "")</calculatedColumnFormula>
    </tableColumn>
    <tableColumn id="32" xr3:uid="{2A1BE705-3B9A-4693-97EA-5344C45A239F}" name="mem100" dataDxfId="51">
      <calculatedColumnFormula>IF(Table15[[#This Row],[corpusMeanLenChars]]=100, Table15[[#This Row],[mem-amt]], "")</calculatedColumnFormula>
    </tableColumn>
    <tableColumn id="33" xr3:uid="{E9F910CE-A552-4E52-B8A9-281920C41F37}" name="mem200" dataDxfId="50">
      <calculatedColumnFormula>IF(Table15[[#This Row],[corpusMeanLenChars]]=200, Table15[[#This Row],[mem-amt]], "")</calculatedColumnFormula>
    </tableColumn>
    <tableColumn id="34" xr3:uid="{B654E001-B06A-4B77-89E4-6DE5772152C6}" name="mem500" dataDxfId="49">
      <calculatedColumnFormula>IF(Table15[[#This Row],[corpusMeanLenChars]]=500, Table15[[#This Row],[mem-amt]], "")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F32F562-6F3D-43EE-92DF-8B19EAD8FFEC}" name="Table156" displayName="Table156" ref="A1:AH33" totalsRowShown="0">
  <autoFilter ref="A1:AH33" xr:uid="{86A5C2B8-E1FD-4551-BB21-D1550FB25CB4}"/>
  <sortState xmlns:xlrd2="http://schemas.microsoft.com/office/spreadsheetml/2017/richdata2" ref="A2:AC32">
    <sortCondition ref="H1:H32"/>
  </sortState>
  <tableColumns count="34">
    <tableColumn id="18" xr3:uid="{92553CDF-D4C5-4752-9D8A-30695AA79302}" name="run" dataDxfId="33"/>
    <tableColumn id="17" xr3:uid="{32B82F01-6C9C-4C83-A51B-35FF548267E4}" name="test@corpus" dataDxfId="32">
      <calculatedColumnFormula>Table156[[#This Row],[test]]&amp;"@"&amp;Table156[[#This Row],[corpus]]</calculatedColumnFormula>
    </tableColumn>
    <tableColumn id="1" xr3:uid="{06597962-358D-4236-BBC2-37DFEFD4DCF3}" name="test" dataDxfId="31"/>
    <tableColumn id="2" xr3:uid="{04D7B5F5-3AFE-4D8C-8AB6-FDB944087AFB}" name="corpus" dataDxfId="30"/>
    <tableColumn id="21" xr3:uid="{DB5F0842-C588-47EF-8846-6F1BA6FE5E30}" name="heapGrowThreshold" dataDxfId="29"/>
    <tableColumn id="27" xr3:uid="{C7E1AB41-0C5C-4D82-BFC7-0B17FE5476F1}" name="concatsPerReset" dataDxfId="28"/>
    <tableColumn id="28" xr3:uid="{CAE9F423-1835-4A7E-9B16-71D86742C0A1}" name="corpusItemCount" dataDxfId="27"/>
    <tableColumn id="29" xr3:uid="{060D9E7F-5FDB-4860-8744-F8172C98C366}" name="corpusMeanLenChars" dataDxfId="26"/>
    <tableColumn id="26" xr3:uid="{A55521A3-12E3-4A1B-85C7-9CBB655425DB}" name="concatDoneActualCount" dataDxfId="25" dataCellStyle="Comma"/>
    <tableColumn id="3" xr3:uid="{7A3566E7-5B51-48EE-819D-FA4D6D4E08A7}" name="execTimeActualSec" dataDxfId="24" dataCellStyle="Comma"/>
    <tableColumn id="4" xr3:uid="{07AE499C-ABA5-437E-806A-B9CFB5E14957}" name="test-allvar" dataDxfId="23">
      <calculatedColumnFormula>MID(Table156[[#This Row],[test]], LEN("perfexp-")+1, 9999)</calculatedColumnFormula>
    </tableColumn>
    <tableColumn id="5" xr3:uid="{FADC6BBD-21AD-4843-8BA5-4CA161C83E91}" name="operation-idx" dataDxfId="22">
      <calculatedColumnFormula>FIND("-p", Table156[[#This Row],[test-allvar]])+LEN("-")</calculatedColumnFormula>
    </tableColumn>
    <tableColumn id="6" xr3:uid="{978A7F42-2521-4DA8-8BC3-EBABAA43583C}" name="operation" dataDxfId="21">
      <calculatedColumnFormula>MID(Table156[[#This Row],[test-allvar]], Table156[[#This Row],[operation-idx]], LEN("pta"))</calculatedColumnFormula>
    </tableColumn>
    <tableColumn id="7" xr3:uid="{C7C31DF6-2852-4ED4-B72E-D4F939ACC98B}" name="sut" dataDxfId="20">
      <calculatedColumnFormula>LEFT(Table156[[#This Row],[test-allvar]], Table156[[#This Row],[operation-idx]]-LEN("-")-1) &amp; MID(Table156[[#This Row],[test-allvar]], Table156[[#This Row],[operation-idx]]+LEN(Table156[[#This Row],[operation]]), 9999)</calculatedColumnFormula>
    </tableColumn>
    <tableColumn id="8" xr3:uid="{A842FC42-2262-493F-9BCB-D7BA8EE01C3D}" name="sut-platform" dataDxfId="19">
      <calculatedColumnFormula>IFERROR( LEFT(Table156[[#This Row],[sut]], FIND("-", Table156[[#This Row],[sut]])-1), Table156[[#This Row],[sut]])</calculatedColumnFormula>
    </tableColumn>
    <tableColumn id="9" xr3:uid="{7240B73D-7AD8-4114-8F13-0745C4C0AA9C}" name="sut-cfa-level" dataDxfId="18">
      <calculatedColumnFormula>IF(Table156[[#This Row],[sut-platform]]="cfa", MID(Table156[[#This Row],[sut]], 5, 2), "~na~")</calculatedColumnFormula>
    </tableColumn>
    <tableColumn id="19" xr3:uid="{7C983E48-1212-4933-8857-6619F1BB25E8}" name="suffix-cfa-sharing-alloc" dataDxfId="17">
      <calculatedColumnFormula>IF(Table156[[#This Row],[sut-platform]]="cfa", MID(Table156[[#This Row],[sut]], 8, 999), Table156[[#This Row],[sut-cfa-level]])</calculatedColumnFormula>
    </tableColumn>
    <tableColumn id="10" xr3:uid="{7D81C58F-3F94-4B7F-8DC2-971FDCAFDCD2}" name="sut-cfa-sharing" dataDxfId="16">
      <calculatedColumnFormula>IF(Table156[[#This Row],[sut-platform]]="cfa", LEFT(Table156[[#This Row],[suffix-cfa-sharing-alloc]], FIND("-",Table156[[#This Row],[suffix-cfa-sharing-alloc]])-1), "~na~")</calculatedColumnFormula>
    </tableColumn>
    <tableColumn id="20" xr3:uid="{7D7201D1-7593-492D-8D33-646A383C7D49}" name="op-alloc" dataDxfId="15">
      <calculatedColumnFormula>RIGHT(Table156[[#This Row],[test-allvar]],LEN(Table156[[#This Row],[test-allvar]])-FIND("@",SUBSTITUTE(Table156[[#This Row],[test-allvar]],"-","@",LEN(Table156[[#This Row],[test-allvar]])-LEN(SUBSTITUTE(Table156[[#This Row],[test-allvar]],"-",""))),1))</calculatedColumnFormula>
    </tableColumn>
    <tableColumn id="11" xr3:uid="{EE272FC9-ACD5-40B9-A638-BD6A71918250}" name="corpus-varsuffix" dataDxfId="14">
      <calculatedColumnFormula>MID(Table156[[#This Row],[corpus]], LEN("corpus-")+1, 999)</calculatedColumnFormula>
    </tableColumn>
    <tableColumn id="12" xr3:uid="{3CC46F29-AF5E-4FCF-8019-351600E226A8}" name="corpus-allvar" dataDxfId="13">
      <calculatedColumnFormula>LEFT(Table156[[#This Row],[corpus-varsuffix]], FIND(".txt", Table156[[#This Row],[corpus-varsuffix]])-1)</calculatedColumnFormula>
    </tableColumn>
    <tableColumn id="13" xr3:uid="{75839DAB-7F49-482B-A629-34569E02D51B}" name="corpus-nstrs" dataDxfId="12">
      <calculatedColumnFormula>INT(LEFT(Table156[[#This Row],[corpus-allvar]], FIND("-", Table156[[#This Row],[corpus-varsuffix]])-1))</calculatedColumnFormula>
    </tableColumn>
    <tableColumn id="14" xr3:uid="{9016C714-113D-4661-82B5-E4B785994EB1}" name="corpus-varsuffix2" dataDxfId="11">
      <calculatedColumnFormula>MID(Table156[[#This Row],[corpus-allvar]], LEN(Table156[[#This Row],[corpus-nstrs]])+2, 999)</calculatedColumnFormula>
    </tableColumn>
    <tableColumn id="15" xr3:uid="{F9687CB6-8671-423C-9318-B400FA2A51E6}" name="corpus-meanlen" dataDxfId="10">
      <calculatedColumnFormula>INT(LEFT(Table156[[#This Row],[corpus-varsuffix2]], FIND("-", Table156[[#This Row],[corpus-varsuffix2]])-1))</calculatedColumnFormula>
    </tableColumn>
    <tableColumn id="16" xr3:uid="{EA4E71FF-81AB-47DB-A7CF-3056A0B8DCCA}" name="corpus-runid" dataDxfId="9">
      <calculatedColumnFormula>INT(MID(Table156[[#This Row],[corpus-varsuffix2]], LEN(Table156[[#This Row],[corpus-meanlen]])+2, 999))</calculatedColumnFormula>
    </tableColumn>
    <tableColumn id="24" xr3:uid="{AC2749E0-3C97-41A4-A009-52D3AB654CE0}" name="ops-per-sec" dataDxfId="8">
      <calculatedColumnFormula>Table156[[#This Row],[concatDoneActualCount]]/Table156[[#This Row],[execTimeActualSec]]</calculatedColumnFormula>
    </tableColumn>
    <tableColumn id="25" xr3:uid="{7D0508A6-C83C-445C-A076-5EDF74BAAE0C}" name="op-duration" dataDxfId="7">
      <calculatedColumnFormula>CONVERT(Table156[[#This Row],[execTimeActualSec]]/Table156[[#This Row],[concatDoneActualCount]], "s", "ns")</calculatedColumnFormula>
    </tableColumn>
    <tableColumn id="22" xr3:uid="{A7616840-0396-44F3-B05D-13B6E6CF3226}" name="memrowid" dataDxfId="6">
      <calculatedColumnFormula>Table156[[#This Row],[corpus-meanlen]]&amp;"-"&amp;Table156[[#This Row],[heapGrowThreshold]]</calculatedColumnFormula>
    </tableColumn>
    <tableColumn id="23" xr3:uid="{737741E2-0776-44E7-8716-D0ABE91EDB77}" name="mem-amt" dataDxfId="5">
      <calculatedColumnFormula>INDEX(importmem[seclast_req_mem], MATCH(Table156[[#This Row],[memrowid]], importmem[rowid], 0))</calculatedColumnFormula>
    </tableColumn>
    <tableColumn id="30" xr3:uid="{D18D4E74-5A2D-4A5F-87D8-077829A8845F}" name="mem20" dataDxfId="4">
      <calculatedColumnFormula>IF(Table156[[#This Row],[corpusMeanLenChars]]=20, Table156[[#This Row],[mem-amt]], "")</calculatedColumnFormula>
    </tableColumn>
    <tableColumn id="31" xr3:uid="{2CFD2F2E-A714-48FA-9049-29BA6F0195BD}" name="mem50" dataDxfId="3">
      <calculatedColumnFormula>IF(Table156[[#This Row],[corpusMeanLenChars]]=50, Table156[[#This Row],[mem-amt]], "")</calculatedColumnFormula>
    </tableColumn>
    <tableColumn id="32" xr3:uid="{C3A6D35E-7503-4B3C-A1D5-ED4308E4202D}" name="mem100" dataDxfId="2">
      <calculatedColumnFormula>IF(Table156[[#This Row],[corpusMeanLenChars]]=100, Table156[[#This Row],[mem-amt]], "")</calculatedColumnFormula>
    </tableColumn>
    <tableColumn id="33" xr3:uid="{B06650A9-A0B6-45E7-ACFE-1D1A55CC5DEB}" name="mem200" dataDxfId="1">
      <calculatedColumnFormula>IF(Table156[[#This Row],[corpusMeanLenChars]]=200, Table156[[#This Row],[mem-amt]], "")</calculatedColumnFormula>
    </tableColumn>
    <tableColumn id="34" xr3:uid="{9C9EBFA6-0730-49F8-9109-AF1FBE61360B}" name="mem500" dataDxfId="0">
      <calculatedColumnFormula>IF(Table156[[#This Row],[corpusMeanLenChars]]=500, Table156[[#This Row],[mem-amt]], "")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9DDF19F-A722-4A1F-BC99-8F58CBD7EB08}" name="importmem" displayName="importmem" ref="A1:F57" totalsRowShown="0">
  <autoFilter ref="A1:F57" xr:uid="{39DDF19F-A722-4A1F-BC99-8F58CBD7EB08}"/>
  <tableColumns count="6">
    <tableColumn id="1" xr3:uid="{B8B4B03E-95A4-4AD6-8940-5A9408362BC4}" name="corpuslen"/>
    <tableColumn id="2" xr3:uid="{4DFEBE91-0D5C-4D00-82DC-E0D319B21E9D}" name="expansion"/>
    <tableColumn id="3" xr3:uid="{1C10A1E0-85BC-4655-A9D1-541EB3B8579E}" name="elapsed_whole_test"/>
    <tableColumn id="4" xr3:uid="{3C642F77-D790-48AA-9D48-05304B005D76}" name="elapsed_last_alloc"/>
    <tableColumn id="5" xr3:uid="{78338299-B52A-492A-8C69-4ABCDF945158}" name="seclast_req_mem"/>
    <tableColumn id="6" xr3:uid="{F47717F7-D159-41A8-B486-C66AEF2F3A49}" name="rowid" dataDxfId="48">
      <calculatedColumnFormula>importmem[[#This Row],[corpuslen]]&amp;"-"&amp;importmem[[#This Row],[expansion]]</calculatedColumnFormula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624D65C-0BC3-4EC9-9A99-ECF37C113447}" name="Table2" displayName="Table2" ref="A1:L46" totalsRowShown="0" headerRowDxfId="47">
  <autoFilter ref="A1:L46" xr:uid="{2624D65C-0BC3-4EC9-9A99-ECF37C113447}"/>
  <tableColumns count="12">
    <tableColumn id="11" xr3:uid="{95958997-14C0-44F9-9538-BD0872C0A7EE}" name="test-conformed" dataDxfId="46">
      <calculatedColumnFormula>Table2[[#This Row],[test]]</calculatedColumnFormula>
    </tableColumn>
    <tableColumn id="1" xr3:uid="{0A22CD28-97BE-47B0-9EAB-529867BE8FAF}" name="test" dataDxfId="45"/>
    <tableColumn id="2" xr3:uid="{5150D505-4BA9-4983-BAAF-059D4DCCF4D2}" name="corpus" dataDxfId="44"/>
    <tableColumn id="12" xr3:uid="{C8FE5173-0DFD-40BE-A950-75FBD875EE83}" name="Column1" dataDxfId="43"/>
    <tableColumn id="3" xr3:uid="{014BBE06-3BF5-4AF7-9E27-6F2D62172C72}" name="concatsPerReset" dataDxfId="42"/>
    <tableColumn id="4" xr3:uid="{990C4489-0942-44A3-8516-F1C3858A9B84}" name="corpusItemCount" dataDxfId="41"/>
    <tableColumn id="5" xr3:uid="{B66ADF76-048A-4D9B-9D28-6FBDB5459936}" name="corpusMeanLenChars" dataDxfId="40"/>
    <tableColumn id="6" xr3:uid="{64D6CBCF-4782-498D-9CD8-63F0B3477672}" name="concatDoneActualCount" dataDxfId="39"/>
    <tableColumn id="7" xr3:uid="{F6D45471-41DB-467D-82C2-8B1D6D465DE8}" name="execTimeActualSec" dataDxfId="38"/>
    <tableColumn id="8" xr3:uid="{40A0DB0E-F126-4836-A34A-409FCF4BCAEF}" name="op-duration-observed" dataDxfId="37">
      <calculatedColumnFormula>CONVERT(I2/H2, "s", "ns")</calculatedColumnFormula>
    </tableColumn>
    <tableColumn id="9" xr3:uid="{B9E2A442-AB6D-4AF9-A15F-E3622A6D92E9}" name="op-duration-baseline" dataDxfId="36">
      <calculatedColumnFormula>INDEX(Table1[op-duration], MATCH(Table2[[#This Row],[test-conformed]]&amp;"@"&amp;Table2[[#This Row],[corpus]], Table1[test@corpus], 0))</calculatedColumnFormula>
    </tableColumn>
    <tableColumn id="10" xr3:uid="{675E593D-243F-4C07-880D-B6CE5A0BE007}" name="rel-duration" dataDxfId="35" dataCellStyle="Percent">
      <calculatedColumnFormula>(Table2[[#This Row],[op-duration-observed]]-Table2[[#This Row],[op-duration-baseline]])/Table2[[#This Row],[op-duration-baseline]]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23163-AC23-492F-87BF-41DEABCED135}">
  <dimension ref="A1:AH36"/>
  <sheetViews>
    <sheetView topLeftCell="D7" zoomScaleNormal="100" workbookViewId="0">
      <selection activeCell="N17" sqref="N17"/>
    </sheetView>
  </sheetViews>
  <sheetFormatPr defaultRowHeight="15" outlineLevelCol="1" x14ac:dyDescent="0.25"/>
  <cols>
    <col min="2" max="2" width="10.85546875" customWidth="1"/>
    <col min="3" max="3" width="32.140625" style="5" bestFit="1" customWidth="1"/>
    <col min="4" max="4" width="20.28515625" style="5" bestFit="1" customWidth="1"/>
    <col min="5" max="8" width="10.5703125" style="5" customWidth="1"/>
    <col min="9" max="9" width="15.140625" style="29" customWidth="1"/>
    <col min="10" max="10" width="15.140625" style="34" customWidth="1"/>
    <col min="11" max="11" width="9.140625" customWidth="1"/>
    <col min="13" max="13" width="19.85546875" bestFit="1" customWidth="1"/>
    <col min="16" max="16" width="0" hidden="1" customWidth="1" outlineLevel="1"/>
    <col min="17" max="17" width="9.140625" customWidth="1" collapsed="1"/>
    <col min="18" max="18" width="9.140625" customWidth="1"/>
    <col min="19" max="20" width="9.140625" hidden="1" customWidth="1" outlineLevel="1"/>
    <col min="21" max="21" width="9.140625" customWidth="1" collapsed="1"/>
    <col min="22" max="22" width="0" hidden="1" customWidth="1" outlineLevel="1"/>
    <col min="23" max="23" width="9.140625" collapsed="1"/>
    <col min="25" max="25" width="11.5703125" style="4" bestFit="1" customWidth="1"/>
    <col min="26" max="26" width="12" style="4" bestFit="1" customWidth="1"/>
  </cols>
  <sheetData>
    <row r="1" spans="1:34" x14ac:dyDescent="0.25">
      <c r="A1" t="s">
        <v>17</v>
      </c>
      <c r="B1" t="s">
        <v>31</v>
      </c>
      <c r="C1" s="6" t="s">
        <v>0</v>
      </c>
      <c r="D1" s="6" t="s">
        <v>1</v>
      </c>
      <c r="E1" s="6" t="s">
        <v>68</v>
      </c>
      <c r="F1" s="6" t="s">
        <v>18</v>
      </c>
      <c r="G1" s="6" t="s">
        <v>30</v>
      </c>
      <c r="H1" s="6" t="s">
        <v>20</v>
      </c>
      <c r="I1" s="28" t="s">
        <v>21</v>
      </c>
      <c r="J1" s="32" t="s">
        <v>19</v>
      </c>
      <c r="K1" t="s">
        <v>2</v>
      </c>
      <c r="L1" t="s">
        <v>3</v>
      </c>
      <c r="M1" t="s">
        <v>4</v>
      </c>
      <c r="N1" t="s">
        <v>5</v>
      </c>
      <c r="O1" t="s">
        <v>6</v>
      </c>
      <c r="P1" t="s">
        <v>7</v>
      </c>
      <c r="Q1" t="s">
        <v>38</v>
      </c>
      <c r="R1" t="s">
        <v>8</v>
      </c>
      <c r="S1" t="s">
        <v>39</v>
      </c>
      <c r="T1" t="s">
        <v>10</v>
      </c>
      <c r="U1" t="s">
        <v>9</v>
      </c>
      <c r="V1" t="s">
        <v>11</v>
      </c>
      <c r="W1" t="s">
        <v>12</v>
      </c>
      <c r="X1" t="s">
        <v>13</v>
      </c>
      <c r="Y1" t="s">
        <v>14</v>
      </c>
      <c r="Z1" s="4" t="s">
        <v>22</v>
      </c>
      <c r="AA1" s="4" t="s">
        <v>23</v>
      </c>
      <c r="AB1" t="s">
        <v>78</v>
      </c>
      <c r="AC1" t="s">
        <v>79</v>
      </c>
      <c r="AD1" t="s">
        <v>80</v>
      </c>
      <c r="AE1" t="s">
        <v>81</v>
      </c>
      <c r="AF1" t="s">
        <v>82</v>
      </c>
      <c r="AG1" t="s">
        <v>83</v>
      </c>
      <c r="AH1" t="s">
        <v>84</v>
      </c>
    </row>
    <row r="2" spans="1:34" x14ac:dyDescent="0.25">
      <c r="A2" s="1" t="s">
        <v>70</v>
      </c>
      <c r="B2" s="1" t="str">
        <f>Table1[[#This Row],[test]]&amp;"@"&amp;Table1[[#This Row],[corpus]]</f>
        <v>perfexp-cfa-pal-ll-share-na@corpus-1-20-1.txt</v>
      </c>
      <c r="C2" s="5" t="s">
        <v>66</v>
      </c>
      <c r="D2" s="5" t="s">
        <v>58</v>
      </c>
      <c r="E2" s="5">
        <v>0.02</v>
      </c>
      <c r="F2" s="5" t="s">
        <v>45</v>
      </c>
      <c r="G2" s="5">
        <v>1</v>
      </c>
      <c r="H2" s="5">
        <v>20</v>
      </c>
      <c r="I2" s="29">
        <v>266750000</v>
      </c>
      <c r="J2" s="33">
        <v>10.000344999999999</v>
      </c>
      <c r="K2" t="str">
        <f>MID(Table1[[#This Row],[test]], LEN("perfexp-")+1, 9999)</f>
        <v>cfa-pal-ll-share-na</v>
      </c>
      <c r="L2">
        <f>FIND("-p", Table1[[#This Row],[test-allvar]])+LEN("-")</f>
        <v>5</v>
      </c>
      <c r="M2" t="str">
        <f>MID(Table1[[#This Row],[test-allvar]], Table1[[#This Row],[operation-idx]], LEN("pta"))</f>
        <v>pal</v>
      </c>
      <c r="N2" s="1" t="str">
        <f>LEFT(Table1[[#This Row],[test-allvar]], Table1[[#This Row],[operation-idx]]-LEN("-")-1) &amp; MID(Table1[[#This Row],[test-allvar]], Table1[[#This Row],[operation-idx]]+LEN(Table1[[#This Row],[operation]]), 9999)</f>
        <v>cfa-ll-share-na</v>
      </c>
      <c r="O2" s="1" t="str">
        <f>IFERROR( LEFT(Table1[[#This Row],[sut]], FIND("-", Table1[[#This Row],[sut]])-1), Table1[[#This Row],[sut]])</f>
        <v>cfa</v>
      </c>
      <c r="P2" s="1" t="str">
        <f>IF(Table1[[#This Row],[sut-platform]]="cfa", MID(Table1[[#This Row],[sut]], 5, 2), "~na~")</f>
        <v>ll</v>
      </c>
      <c r="Q2" s="1" t="str">
        <f>IF(Table1[[#This Row],[sut-platform]]="cfa", MID(Table1[[#This Row],[sut]], 8, 999), Table1[[#This Row],[sut-cfa-level]])</f>
        <v>share-na</v>
      </c>
      <c r="R2" s="1" t="str">
        <f>IF(Table1[[#This Row],[sut-platform]]="cfa", LEFT(Table1[[#This Row],[suffix-cfa-sharing-alloc]], FIND("-",Table1[[#This Row],[suffix-cfa-sharing-alloc]])-1), "~na~")</f>
        <v>share</v>
      </c>
      <c r="S2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T2" s="1" t="str">
        <f>MID(Table1[[#This Row],[corpus]], LEN("corpus-")+1, 999)</f>
        <v>1-20-1.txt</v>
      </c>
      <c r="U2" s="1" t="str">
        <f>LEFT(Table1[[#This Row],[corpus-varsuffix]], FIND(".txt", Table1[[#This Row],[corpus-varsuffix]])-1)</f>
        <v>1-20-1</v>
      </c>
      <c r="V2" s="1">
        <f>INT(LEFT(Table1[[#This Row],[corpus-allvar]], FIND("-", Table1[[#This Row],[corpus-varsuffix]])-1))</f>
        <v>1</v>
      </c>
      <c r="W2" s="1" t="str">
        <f>MID(Table1[[#This Row],[corpus-allvar]], LEN(Table1[[#This Row],[corpus-nstrs]])+2, 999)</f>
        <v>20-1</v>
      </c>
      <c r="X2" s="1">
        <f>INT(LEFT(Table1[[#This Row],[corpus-varsuffix2]], FIND("-", Table1[[#This Row],[corpus-varsuffix2]])-1))</f>
        <v>20</v>
      </c>
      <c r="Y2" s="1">
        <f>INT(MID(Table1[[#This Row],[corpus-varsuffix2]], LEN(Table1[[#This Row],[corpus-meanlen]])+2, 999))</f>
        <v>1</v>
      </c>
      <c r="Z2" s="4">
        <f>Table1[[#This Row],[concatDoneActualCount]]/Table1[[#This Row],[execTimeActualSec]]</f>
        <v>26674079.744248826</v>
      </c>
      <c r="AA2" s="4">
        <f>CONVERT(Table1[[#This Row],[execTimeActualSec]]/Table1[[#This Row],[concatDoneActualCount]], "s", "ns")</f>
        <v>37.489578256794751</v>
      </c>
      <c r="AB2" s="1" t="str">
        <f>Table1[[#This Row],[corpus-meanlen]]&amp;"-"&amp;Table1[[#This Row],[heapGrowThreshold]]</f>
        <v>20-0.02</v>
      </c>
      <c r="AC2" s="1">
        <f>INDEX(importmem[seclast_req_mem], MATCH(Table1[[#This Row],[memrowid]], importmem[rowid], 0))</f>
        <v>1035966</v>
      </c>
      <c r="AD2" s="1">
        <f>IF(Table1[[#This Row],[corpusMeanLenChars]]=20, Table1[[#This Row],[mem-amt]], "")</f>
        <v>1035966</v>
      </c>
      <c r="AE2" s="1" t="str">
        <f>IF(Table1[[#This Row],[corpusMeanLenChars]]=50, Table1[[#This Row],[mem-amt]], "")</f>
        <v/>
      </c>
      <c r="AF2" s="1" t="str">
        <f>IF(Table1[[#This Row],[corpusMeanLenChars]]=100, Table1[[#This Row],[mem-amt]], "")</f>
        <v/>
      </c>
      <c r="AG2" s="1" t="str">
        <f>IF(Table1[[#This Row],[corpusMeanLenChars]]=200, Table1[[#This Row],[mem-amt]], "")</f>
        <v/>
      </c>
      <c r="AH2" s="1" t="str">
        <f>IF(Table1[[#This Row],[corpusMeanLenChars]]=500, Table1[[#This Row],[mem-amt]], "")</f>
        <v/>
      </c>
    </row>
    <row r="3" spans="1:34" x14ac:dyDescent="0.25">
      <c r="A3" s="1" t="s">
        <v>70</v>
      </c>
      <c r="B3" s="1" t="str">
        <f>Table1[[#This Row],[test]]&amp;"@"&amp;Table1[[#This Row],[corpus]]</f>
        <v>perfexp-cfa-pal-ll-share-na@corpus-1-20-1.txt</v>
      </c>
      <c r="C3" s="5" t="s">
        <v>66</v>
      </c>
      <c r="D3" s="5" t="s">
        <v>58</v>
      </c>
      <c r="E3" s="5">
        <v>0.05</v>
      </c>
      <c r="F3" s="5" t="s">
        <v>45</v>
      </c>
      <c r="G3" s="5">
        <v>1</v>
      </c>
      <c r="H3" s="5">
        <v>20</v>
      </c>
      <c r="I3" s="29">
        <v>266150000</v>
      </c>
      <c r="J3" s="33">
        <v>10.000287999999999</v>
      </c>
      <c r="K3" t="str">
        <f>MID(Table1[[#This Row],[test]], LEN("perfexp-")+1, 9999)</f>
        <v>cfa-pal-ll-share-na</v>
      </c>
      <c r="L3">
        <f>FIND("-p", Table1[[#This Row],[test-allvar]])+LEN("-")</f>
        <v>5</v>
      </c>
      <c r="M3" t="str">
        <f>MID(Table1[[#This Row],[test-allvar]], Table1[[#This Row],[operation-idx]], LEN("pta"))</f>
        <v>pal</v>
      </c>
      <c r="N3" s="1" t="str">
        <f>LEFT(Table1[[#This Row],[test-allvar]], Table1[[#This Row],[operation-idx]]-LEN("-")-1) &amp; MID(Table1[[#This Row],[test-allvar]], Table1[[#This Row],[operation-idx]]+LEN(Table1[[#This Row],[operation]]), 9999)</f>
        <v>cfa-ll-share-na</v>
      </c>
      <c r="O3" s="1" t="str">
        <f>IFERROR( LEFT(Table1[[#This Row],[sut]], FIND("-", Table1[[#This Row],[sut]])-1), Table1[[#This Row],[sut]])</f>
        <v>cfa</v>
      </c>
      <c r="P3" s="1" t="str">
        <f>IF(Table1[[#This Row],[sut-platform]]="cfa", MID(Table1[[#This Row],[sut]], 5, 2), "~na~")</f>
        <v>ll</v>
      </c>
      <c r="Q3" s="1" t="str">
        <f>IF(Table1[[#This Row],[sut-platform]]="cfa", MID(Table1[[#This Row],[sut]], 8, 999), Table1[[#This Row],[sut-cfa-level]])</f>
        <v>share-na</v>
      </c>
      <c r="R3" s="1" t="str">
        <f>IF(Table1[[#This Row],[sut-platform]]="cfa", LEFT(Table1[[#This Row],[suffix-cfa-sharing-alloc]], FIND("-",Table1[[#This Row],[suffix-cfa-sharing-alloc]])-1), "~na~")</f>
        <v>share</v>
      </c>
      <c r="S3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T3" s="1" t="str">
        <f>MID(Table1[[#This Row],[corpus]], LEN("corpus-")+1, 999)</f>
        <v>1-20-1.txt</v>
      </c>
      <c r="U3" s="1" t="str">
        <f>LEFT(Table1[[#This Row],[corpus-varsuffix]], FIND(".txt", Table1[[#This Row],[corpus-varsuffix]])-1)</f>
        <v>1-20-1</v>
      </c>
      <c r="V3" s="1">
        <f>INT(LEFT(Table1[[#This Row],[corpus-allvar]], FIND("-", Table1[[#This Row],[corpus-varsuffix]])-1))</f>
        <v>1</v>
      </c>
      <c r="W3" s="1" t="str">
        <f>MID(Table1[[#This Row],[corpus-allvar]], LEN(Table1[[#This Row],[corpus-nstrs]])+2, 999)</f>
        <v>20-1</v>
      </c>
      <c r="X3" s="1">
        <f>INT(LEFT(Table1[[#This Row],[corpus-varsuffix2]], FIND("-", Table1[[#This Row],[corpus-varsuffix2]])-1))</f>
        <v>20</v>
      </c>
      <c r="Y3" s="1">
        <f>INT(MID(Table1[[#This Row],[corpus-varsuffix2]], LEN(Table1[[#This Row],[corpus-meanlen]])+2, 999))</f>
        <v>1</v>
      </c>
      <c r="Z3" s="4">
        <f>Table1[[#This Row],[concatDoneActualCount]]/Table1[[#This Row],[execTimeActualSec]]</f>
        <v>26614233.51007491</v>
      </c>
      <c r="AA3" s="4">
        <f>CONVERT(Table1[[#This Row],[execTimeActualSec]]/Table1[[#This Row],[concatDoneActualCount]], "s", "ns")</f>
        <v>37.573879391320681</v>
      </c>
      <c r="AB3" s="1" t="str">
        <f>Table1[[#This Row],[corpus-meanlen]]&amp;"-"&amp;Table1[[#This Row],[heapGrowThreshold]]</f>
        <v>20-0.05</v>
      </c>
      <c r="AC3" s="1">
        <f>INDEX(importmem[seclast_req_mem], MATCH(Table1[[#This Row],[memrowid]], importmem[rowid], 0))</f>
        <v>523966</v>
      </c>
      <c r="AD3" s="1">
        <f>IF(Table1[[#This Row],[corpusMeanLenChars]]=20, Table1[[#This Row],[mem-amt]], "")</f>
        <v>523966</v>
      </c>
      <c r="AE3" s="1" t="str">
        <f>IF(Table1[[#This Row],[corpusMeanLenChars]]=50, Table1[[#This Row],[mem-amt]], "")</f>
        <v/>
      </c>
      <c r="AF3" s="1" t="str">
        <f>IF(Table1[[#This Row],[corpusMeanLenChars]]=100, Table1[[#This Row],[mem-amt]], "")</f>
        <v/>
      </c>
      <c r="AG3" s="1" t="str">
        <f>IF(Table1[[#This Row],[corpusMeanLenChars]]=200, Table1[[#This Row],[mem-amt]], "")</f>
        <v/>
      </c>
      <c r="AH3" s="1" t="str">
        <f>IF(Table1[[#This Row],[corpusMeanLenChars]]=500, Table1[[#This Row],[mem-amt]], "")</f>
        <v/>
      </c>
    </row>
    <row r="4" spans="1:34" x14ac:dyDescent="0.25">
      <c r="A4" s="1" t="s">
        <v>70</v>
      </c>
      <c r="B4" s="1" t="str">
        <f>Table1[[#This Row],[test]]&amp;"@"&amp;Table1[[#This Row],[corpus]]</f>
        <v>perfexp-cfa-pal-ll-share-na@corpus-1-20-1.txt</v>
      </c>
      <c r="C4" s="5" t="s">
        <v>66</v>
      </c>
      <c r="D4" s="27" t="s">
        <v>58</v>
      </c>
      <c r="E4" s="27">
        <v>0.1</v>
      </c>
      <c r="F4" s="5" t="s">
        <v>45</v>
      </c>
      <c r="G4" s="5">
        <v>1</v>
      </c>
      <c r="H4" s="5">
        <v>20</v>
      </c>
      <c r="I4" s="30">
        <v>261320000</v>
      </c>
      <c r="J4" s="33">
        <v>10.000342</v>
      </c>
      <c r="K4" t="str">
        <f>MID(Table1[[#This Row],[test]], LEN("perfexp-")+1, 9999)</f>
        <v>cfa-pal-ll-share-na</v>
      </c>
      <c r="L4">
        <f>FIND("-p", Table1[[#This Row],[test-allvar]])+LEN("-")</f>
        <v>5</v>
      </c>
      <c r="M4" t="str">
        <f>MID(Table1[[#This Row],[test-allvar]], Table1[[#This Row],[operation-idx]], LEN("pta"))</f>
        <v>pal</v>
      </c>
      <c r="N4" s="1" t="str">
        <f>LEFT(Table1[[#This Row],[test-allvar]], Table1[[#This Row],[operation-idx]]-LEN("-")-1) &amp; MID(Table1[[#This Row],[test-allvar]], Table1[[#This Row],[operation-idx]]+LEN(Table1[[#This Row],[operation]]), 9999)</f>
        <v>cfa-ll-share-na</v>
      </c>
      <c r="O4" s="1" t="str">
        <f>IFERROR( LEFT(Table1[[#This Row],[sut]], FIND("-", Table1[[#This Row],[sut]])-1), Table1[[#This Row],[sut]])</f>
        <v>cfa</v>
      </c>
      <c r="P4" s="1" t="str">
        <f>IF(Table1[[#This Row],[sut-platform]]="cfa", MID(Table1[[#This Row],[sut]], 5, 2), "~na~")</f>
        <v>ll</v>
      </c>
      <c r="Q4" s="1" t="str">
        <f>IF(Table1[[#This Row],[sut-platform]]="cfa", MID(Table1[[#This Row],[sut]], 8, 999), Table1[[#This Row],[sut-cfa-level]])</f>
        <v>share-na</v>
      </c>
      <c r="R4" s="1" t="str">
        <f>IF(Table1[[#This Row],[sut-platform]]="cfa", LEFT(Table1[[#This Row],[suffix-cfa-sharing-alloc]], FIND("-",Table1[[#This Row],[suffix-cfa-sharing-alloc]])-1), "~na~")</f>
        <v>share</v>
      </c>
      <c r="S4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T4" s="1" t="str">
        <f>MID(Table1[[#This Row],[corpus]], LEN("corpus-")+1, 999)</f>
        <v>1-20-1.txt</v>
      </c>
      <c r="U4" s="1" t="str">
        <f>LEFT(Table1[[#This Row],[corpus-varsuffix]], FIND(".txt", Table1[[#This Row],[corpus-varsuffix]])-1)</f>
        <v>1-20-1</v>
      </c>
      <c r="V4" s="1">
        <f>INT(LEFT(Table1[[#This Row],[corpus-allvar]], FIND("-", Table1[[#This Row],[corpus-varsuffix]])-1))</f>
        <v>1</v>
      </c>
      <c r="W4" s="1" t="str">
        <f>MID(Table1[[#This Row],[corpus-allvar]], LEN(Table1[[#This Row],[corpus-nstrs]])+2, 999)</f>
        <v>20-1</v>
      </c>
      <c r="X4" s="1">
        <f>INT(LEFT(Table1[[#This Row],[corpus-varsuffix2]], FIND("-", Table1[[#This Row],[corpus-varsuffix2]])-1))</f>
        <v>20</v>
      </c>
      <c r="Y4" s="1">
        <f>INT(MID(Table1[[#This Row],[corpus-varsuffix2]], LEN(Table1[[#This Row],[corpus-meanlen]])+2, 999))</f>
        <v>1</v>
      </c>
      <c r="Z4" s="4">
        <f>Table1[[#This Row],[concatDoneActualCount]]/Table1[[#This Row],[execTimeActualSec]]</f>
        <v>26131106.316163987</v>
      </c>
      <c r="AA4" s="4">
        <f>CONVERT(Table1[[#This Row],[execTimeActualSec]]/Table1[[#This Row],[concatDoneActualCount]], "s", "ns")</f>
        <v>38.268567273840496</v>
      </c>
      <c r="AB4" s="1" t="str">
        <f>Table1[[#This Row],[corpus-meanlen]]&amp;"-"&amp;Table1[[#This Row],[heapGrowThreshold]]</f>
        <v>20-0.1</v>
      </c>
      <c r="AC4" s="1">
        <f>INDEX(importmem[seclast_req_mem], MATCH(Table1[[#This Row],[memrowid]], importmem[rowid], 0))</f>
        <v>267966</v>
      </c>
      <c r="AD4" s="1">
        <f>IF(Table1[[#This Row],[corpusMeanLenChars]]=20, Table1[[#This Row],[mem-amt]], "")</f>
        <v>267966</v>
      </c>
      <c r="AE4" s="1" t="str">
        <f>IF(Table1[[#This Row],[corpusMeanLenChars]]=50, Table1[[#This Row],[mem-amt]], "")</f>
        <v/>
      </c>
      <c r="AF4" s="1" t="str">
        <f>IF(Table1[[#This Row],[corpusMeanLenChars]]=100, Table1[[#This Row],[mem-amt]], "")</f>
        <v/>
      </c>
      <c r="AG4" s="1" t="str">
        <f>IF(Table1[[#This Row],[corpusMeanLenChars]]=200, Table1[[#This Row],[mem-amt]], "")</f>
        <v/>
      </c>
      <c r="AH4" s="1" t="str">
        <f>IF(Table1[[#This Row],[corpusMeanLenChars]]=500, Table1[[#This Row],[mem-amt]], "")</f>
        <v/>
      </c>
    </row>
    <row r="5" spans="1:34" x14ac:dyDescent="0.25">
      <c r="A5" s="1" t="s">
        <v>70</v>
      </c>
      <c r="B5" s="1" t="str">
        <f>Table1[[#This Row],[test]]&amp;"@"&amp;Table1[[#This Row],[corpus]]</f>
        <v>perfexp-cfa-pal-ll-share-na@corpus-1-20-1.txt</v>
      </c>
      <c r="C5" s="5" t="s">
        <v>66</v>
      </c>
      <c r="D5" s="5" t="s">
        <v>58</v>
      </c>
      <c r="E5" s="5">
        <v>0.2</v>
      </c>
      <c r="F5" s="5" t="s">
        <v>45</v>
      </c>
      <c r="G5" s="5">
        <v>1</v>
      </c>
      <c r="H5" s="5">
        <v>20</v>
      </c>
      <c r="I5" s="29">
        <v>260830000</v>
      </c>
      <c r="J5" s="33">
        <v>10.000373</v>
      </c>
      <c r="K5" t="str">
        <f>MID(Table1[[#This Row],[test]], LEN("perfexp-")+1, 9999)</f>
        <v>cfa-pal-ll-share-na</v>
      </c>
      <c r="L5">
        <f>FIND("-p", Table1[[#This Row],[test-allvar]])+LEN("-")</f>
        <v>5</v>
      </c>
      <c r="M5" t="str">
        <f>MID(Table1[[#This Row],[test-allvar]], Table1[[#This Row],[operation-idx]], LEN("pta"))</f>
        <v>pal</v>
      </c>
      <c r="N5" s="1" t="str">
        <f>LEFT(Table1[[#This Row],[test-allvar]], Table1[[#This Row],[operation-idx]]-LEN("-")-1) &amp; MID(Table1[[#This Row],[test-allvar]], Table1[[#This Row],[operation-idx]]+LEN(Table1[[#This Row],[operation]]), 9999)</f>
        <v>cfa-ll-share-na</v>
      </c>
      <c r="O5" s="1" t="str">
        <f>IFERROR( LEFT(Table1[[#This Row],[sut]], FIND("-", Table1[[#This Row],[sut]])-1), Table1[[#This Row],[sut]])</f>
        <v>cfa</v>
      </c>
      <c r="P5" s="1" t="str">
        <f>IF(Table1[[#This Row],[sut-platform]]="cfa", MID(Table1[[#This Row],[sut]], 5, 2), "~na~")</f>
        <v>ll</v>
      </c>
      <c r="Q5" s="1" t="str">
        <f>IF(Table1[[#This Row],[sut-platform]]="cfa", MID(Table1[[#This Row],[sut]], 8, 999), Table1[[#This Row],[sut-cfa-level]])</f>
        <v>share-na</v>
      </c>
      <c r="R5" s="1" t="str">
        <f>IF(Table1[[#This Row],[sut-platform]]="cfa", LEFT(Table1[[#This Row],[suffix-cfa-sharing-alloc]], FIND("-",Table1[[#This Row],[suffix-cfa-sharing-alloc]])-1), "~na~")</f>
        <v>share</v>
      </c>
      <c r="S5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T5" s="1" t="str">
        <f>MID(Table1[[#This Row],[corpus]], LEN("corpus-")+1, 999)</f>
        <v>1-20-1.txt</v>
      </c>
      <c r="U5" s="1" t="str">
        <f>LEFT(Table1[[#This Row],[corpus-varsuffix]], FIND(".txt", Table1[[#This Row],[corpus-varsuffix]])-1)</f>
        <v>1-20-1</v>
      </c>
      <c r="V5" s="1">
        <f>INT(LEFT(Table1[[#This Row],[corpus-allvar]], FIND("-", Table1[[#This Row],[corpus-varsuffix]])-1))</f>
        <v>1</v>
      </c>
      <c r="W5" s="1" t="str">
        <f>MID(Table1[[#This Row],[corpus-allvar]], LEN(Table1[[#This Row],[corpus-nstrs]])+2, 999)</f>
        <v>20-1</v>
      </c>
      <c r="X5" s="1">
        <f>INT(LEFT(Table1[[#This Row],[corpus-varsuffix2]], FIND("-", Table1[[#This Row],[corpus-varsuffix2]])-1))</f>
        <v>20</v>
      </c>
      <c r="Y5" s="1">
        <f>INT(MID(Table1[[#This Row],[corpus-varsuffix2]], LEN(Table1[[#This Row],[corpus-meanlen]])+2, 999))</f>
        <v>1</v>
      </c>
      <c r="Z5" s="4">
        <f>Table1[[#This Row],[concatDoneActualCount]]/Table1[[#This Row],[execTimeActualSec]]</f>
        <v>26082027.140387665</v>
      </c>
      <c r="AA5" s="4">
        <f>CONVERT(Table1[[#This Row],[execTimeActualSec]]/Table1[[#This Row],[concatDoneActualCount]], "s", "ns")</f>
        <v>38.340578154353409</v>
      </c>
      <c r="AB5" s="1" t="str">
        <f>Table1[[#This Row],[corpus-meanlen]]&amp;"-"&amp;Table1[[#This Row],[heapGrowThreshold]]</f>
        <v>20-0.2</v>
      </c>
      <c r="AC5" s="1">
        <f>INDEX(importmem[seclast_req_mem], MATCH(Table1[[#This Row],[memrowid]], importmem[rowid], 0))</f>
        <v>139966</v>
      </c>
      <c r="AD5" s="1">
        <f>IF(Table1[[#This Row],[corpusMeanLenChars]]=20, Table1[[#This Row],[mem-amt]], "")</f>
        <v>139966</v>
      </c>
      <c r="AE5" s="1" t="str">
        <f>IF(Table1[[#This Row],[corpusMeanLenChars]]=50, Table1[[#This Row],[mem-amt]], "")</f>
        <v/>
      </c>
      <c r="AF5" s="1" t="str">
        <f>IF(Table1[[#This Row],[corpusMeanLenChars]]=100, Table1[[#This Row],[mem-amt]], "")</f>
        <v/>
      </c>
      <c r="AG5" s="1" t="str">
        <f>IF(Table1[[#This Row],[corpusMeanLenChars]]=200, Table1[[#This Row],[mem-amt]], "")</f>
        <v/>
      </c>
      <c r="AH5" s="1" t="str">
        <f>IF(Table1[[#This Row],[corpusMeanLenChars]]=500, Table1[[#This Row],[mem-amt]], "")</f>
        <v/>
      </c>
    </row>
    <row r="6" spans="1:34" x14ac:dyDescent="0.25">
      <c r="A6" s="1" t="s">
        <v>70</v>
      </c>
      <c r="B6" s="1" t="str">
        <f>Table1[[#This Row],[test]]&amp;"@"&amp;Table1[[#This Row],[corpus]]</f>
        <v>perfexp-cfa-pal-ll-share-na@corpus-1-20-1.txt</v>
      </c>
      <c r="C6" s="5" t="s">
        <v>66</v>
      </c>
      <c r="D6" s="5" t="s">
        <v>58</v>
      </c>
      <c r="E6" s="5">
        <v>0.5</v>
      </c>
      <c r="F6" s="5" t="s">
        <v>45</v>
      </c>
      <c r="G6" s="5">
        <v>1</v>
      </c>
      <c r="H6" s="5">
        <v>20</v>
      </c>
      <c r="I6" s="29">
        <v>244180000</v>
      </c>
      <c r="J6" s="33">
        <v>10.000201000000001</v>
      </c>
      <c r="K6" t="str">
        <f>MID(Table1[[#This Row],[test]], LEN("perfexp-")+1, 9999)</f>
        <v>cfa-pal-ll-share-na</v>
      </c>
      <c r="L6">
        <f>FIND("-p", Table1[[#This Row],[test-allvar]])+LEN("-")</f>
        <v>5</v>
      </c>
      <c r="M6" t="str">
        <f>MID(Table1[[#This Row],[test-allvar]], Table1[[#This Row],[operation-idx]], LEN("pta"))</f>
        <v>pal</v>
      </c>
      <c r="N6" s="1" t="str">
        <f>LEFT(Table1[[#This Row],[test-allvar]], Table1[[#This Row],[operation-idx]]-LEN("-")-1) &amp; MID(Table1[[#This Row],[test-allvar]], Table1[[#This Row],[operation-idx]]+LEN(Table1[[#This Row],[operation]]), 9999)</f>
        <v>cfa-ll-share-na</v>
      </c>
      <c r="O6" s="1" t="str">
        <f>IFERROR( LEFT(Table1[[#This Row],[sut]], FIND("-", Table1[[#This Row],[sut]])-1), Table1[[#This Row],[sut]])</f>
        <v>cfa</v>
      </c>
      <c r="P6" s="1" t="str">
        <f>IF(Table1[[#This Row],[sut-platform]]="cfa", MID(Table1[[#This Row],[sut]], 5, 2), "~na~")</f>
        <v>ll</v>
      </c>
      <c r="Q6" s="1" t="str">
        <f>IF(Table1[[#This Row],[sut-platform]]="cfa", MID(Table1[[#This Row],[sut]], 8, 999), Table1[[#This Row],[sut-cfa-level]])</f>
        <v>share-na</v>
      </c>
      <c r="R6" s="1" t="str">
        <f>IF(Table1[[#This Row],[sut-platform]]="cfa", LEFT(Table1[[#This Row],[suffix-cfa-sharing-alloc]], FIND("-",Table1[[#This Row],[suffix-cfa-sharing-alloc]])-1), "~na~")</f>
        <v>share</v>
      </c>
      <c r="S6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T6" s="1" t="str">
        <f>MID(Table1[[#This Row],[corpus]], LEN("corpus-")+1, 999)</f>
        <v>1-20-1.txt</v>
      </c>
      <c r="U6" s="1" t="str">
        <f>LEFT(Table1[[#This Row],[corpus-varsuffix]], FIND(".txt", Table1[[#This Row],[corpus-varsuffix]])-1)</f>
        <v>1-20-1</v>
      </c>
      <c r="V6" s="1">
        <f>INT(LEFT(Table1[[#This Row],[corpus-allvar]], FIND("-", Table1[[#This Row],[corpus-varsuffix]])-1))</f>
        <v>1</v>
      </c>
      <c r="W6" s="1" t="str">
        <f>MID(Table1[[#This Row],[corpus-allvar]], LEN(Table1[[#This Row],[corpus-nstrs]])+2, 999)</f>
        <v>20-1</v>
      </c>
      <c r="X6" s="1">
        <f>INT(LEFT(Table1[[#This Row],[corpus-varsuffix2]], FIND("-", Table1[[#This Row],[corpus-varsuffix2]])-1))</f>
        <v>20</v>
      </c>
      <c r="Y6" s="1">
        <f>INT(MID(Table1[[#This Row],[corpus-varsuffix2]], LEN(Table1[[#This Row],[corpus-meanlen]])+2, 999))</f>
        <v>1</v>
      </c>
      <c r="Z6" s="4">
        <f>Table1[[#This Row],[concatDoneActualCount]]/Table1[[#This Row],[execTimeActualSec]]</f>
        <v>24417509.208064917</v>
      </c>
      <c r="AA6" s="4">
        <f>CONVERT(Table1[[#This Row],[execTimeActualSec]]/Table1[[#This Row],[concatDoneActualCount]], "s", "ns")</f>
        <v>40.954218199688761</v>
      </c>
      <c r="AB6" s="1" t="str">
        <f>Table1[[#This Row],[corpus-meanlen]]&amp;"-"&amp;Table1[[#This Row],[heapGrowThreshold]]</f>
        <v>20-0.5</v>
      </c>
      <c r="AC6" s="1">
        <f>INDEX(importmem[seclast_req_mem], MATCH(Table1[[#This Row],[memrowid]], importmem[rowid], 0))</f>
        <v>75966</v>
      </c>
      <c r="AD6" s="1">
        <f>IF(Table1[[#This Row],[corpusMeanLenChars]]=20, Table1[[#This Row],[mem-amt]], "")</f>
        <v>75966</v>
      </c>
      <c r="AE6" s="1" t="str">
        <f>IF(Table1[[#This Row],[corpusMeanLenChars]]=50, Table1[[#This Row],[mem-amt]], "")</f>
        <v/>
      </c>
      <c r="AF6" s="1" t="str">
        <f>IF(Table1[[#This Row],[corpusMeanLenChars]]=100, Table1[[#This Row],[mem-amt]], "")</f>
        <v/>
      </c>
      <c r="AG6" s="1" t="str">
        <f>IF(Table1[[#This Row],[corpusMeanLenChars]]=200, Table1[[#This Row],[mem-amt]], "")</f>
        <v/>
      </c>
      <c r="AH6" s="1" t="str">
        <f>IF(Table1[[#This Row],[corpusMeanLenChars]]=500, Table1[[#This Row],[mem-amt]], "")</f>
        <v/>
      </c>
    </row>
    <row r="7" spans="1:34" x14ac:dyDescent="0.25">
      <c r="A7" s="1" t="s">
        <v>70</v>
      </c>
      <c r="B7" s="1" t="str">
        <f>Table1[[#This Row],[test]]&amp;"@"&amp;Table1[[#This Row],[corpus]]</f>
        <v>perfexp-cfa-pal-ll-share-na@corpus-1-20-1.txt</v>
      </c>
      <c r="C7" s="5" t="s">
        <v>66</v>
      </c>
      <c r="D7" s="26" t="s">
        <v>58</v>
      </c>
      <c r="E7" s="26">
        <v>0.9</v>
      </c>
      <c r="F7" s="5" t="s">
        <v>45</v>
      </c>
      <c r="G7" s="5">
        <v>1</v>
      </c>
      <c r="H7" s="5">
        <v>20</v>
      </c>
      <c r="I7" s="31">
        <v>203880000</v>
      </c>
      <c r="J7" s="33">
        <v>10.000106000000001</v>
      </c>
      <c r="K7" t="str">
        <f>MID(Table1[[#This Row],[test]], LEN("perfexp-")+1, 9999)</f>
        <v>cfa-pal-ll-share-na</v>
      </c>
      <c r="L7">
        <f>FIND("-p", Table1[[#This Row],[test-allvar]])+LEN("-")</f>
        <v>5</v>
      </c>
      <c r="M7" t="str">
        <f>MID(Table1[[#This Row],[test-allvar]], Table1[[#This Row],[operation-idx]], LEN("pta"))</f>
        <v>pal</v>
      </c>
      <c r="N7" s="1" t="str">
        <f>LEFT(Table1[[#This Row],[test-allvar]], Table1[[#This Row],[operation-idx]]-LEN("-")-1) &amp; MID(Table1[[#This Row],[test-allvar]], Table1[[#This Row],[operation-idx]]+LEN(Table1[[#This Row],[operation]]), 9999)</f>
        <v>cfa-ll-share-na</v>
      </c>
      <c r="O7" s="1" t="str">
        <f>IFERROR( LEFT(Table1[[#This Row],[sut]], FIND("-", Table1[[#This Row],[sut]])-1), Table1[[#This Row],[sut]])</f>
        <v>cfa</v>
      </c>
      <c r="P7" s="1" t="str">
        <f>IF(Table1[[#This Row],[sut-platform]]="cfa", MID(Table1[[#This Row],[sut]], 5, 2), "~na~")</f>
        <v>ll</v>
      </c>
      <c r="Q7" s="1" t="str">
        <f>IF(Table1[[#This Row],[sut-platform]]="cfa", MID(Table1[[#This Row],[sut]], 8, 999), Table1[[#This Row],[sut-cfa-level]])</f>
        <v>share-na</v>
      </c>
      <c r="R7" s="1" t="str">
        <f>IF(Table1[[#This Row],[sut-platform]]="cfa", LEFT(Table1[[#This Row],[suffix-cfa-sharing-alloc]], FIND("-",Table1[[#This Row],[suffix-cfa-sharing-alloc]])-1), "~na~")</f>
        <v>share</v>
      </c>
      <c r="S7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T7" s="1" t="str">
        <f>MID(Table1[[#This Row],[corpus]], LEN("corpus-")+1, 999)</f>
        <v>1-20-1.txt</v>
      </c>
      <c r="U7" s="1" t="str">
        <f>LEFT(Table1[[#This Row],[corpus-varsuffix]], FIND(".txt", Table1[[#This Row],[corpus-varsuffix]])-1)</f>
        <v>1-20-1</v>
      </c>
      <c r="V7" s="1">
        <f>INT(LEFT(Table1[[#This Row],[corpus-allvar]], FIND("-", Table1[[#This Row],[corpus-varsuffix]])-1))</f>
        <v>1</v>
      </c>
      <c r="W7" s="1" t="str">
        <f>MID(Table1[[#This Row],[corpus-allvar]], LEN(Table1[[#This Row],[corpus-nstrs]])+2, 999)</f>
        <v>20-1</v>
      </c>
      <c r="X7" s="1">
        <f>INT(LEFT(Table1[[#This Row],[corpus-varsuffix2]], FIND("-", Table1[[#This Row],[corpus-varsuffix2]])-1))</f>
        <v>20</v>
      </c>
      <c r="Y7" s="1">
        <f>INT(MID(Table1[[#This Row],[corpus-varsuffix2]], LEN(Table1[[#This Row],[corpus-meanlen]])+2, 999))</f>
        <v>1</v>
      </c>
      <c r="Z7" s="4">
        <f>Table1[[#This Row],[concatDoneActualCount]]/Table1[[#This Row],[execTimeActualSec]]</f>
        <v>20387783.889490768</v>
      </c>
      <c r="AA7" s="4">
        <f>CONVERT(Table1[[#This Row],[execTimeActualSec]]/Table1[[#This Row],[concatDoneActualCount]], "s", "ns")</f>
        <v>49.04897979203453</v>
      </c>
      <c r="AB7" s="1" t="str">
        <f>Table1[[#This Row],[corpus-meanlen]]&amp;"-"&amp;Table1[[#This Row],[heapGrowThreshold]]</f>
        <v>20-0.9</v>
      </c>
      <c r="AC7" s="1">
        <f>INDEX(importmem[seclast_req_mem], MATCH(Table1[[#This Row],[memrowid]], importmem[rowid], 0))</f>
        <v>43966</v>
      </c>
      <c r="AD7" s="1">
        <f>IF(Table1[[#This Row],[corpusMeanLenChars]]=20, Table1[[#This Row],[mem-amt]], "")</f>
        <v>43966</v>
      </c>
      <c r="AE7" s="1" t="str">
        <f>IF(Table1[[#This Row],[corpusMeanLenChars]]=50, Table1[[#This Row],[mem-amt]], "")</f>
        <v/>
      </c>
      <c r="AF7" s="1" t="str">
        <f>IF(Table1[[#This Row],[corpusMeanLenChars]]=100, Table1[[#This Row],[mem-amt]], "")</f>
        <v/>
      </c>
      <c r="AG7" s="1" t="str">
        <f>IF(Table1[[#This Row],[corpusMeanLenChars]]=200, Table1[[#This Row],[mem-amt]], "")</f>
        <v/>
      </c>
      <c r="AH7" s="1" t="str">
        <f>IF(Table1[[#This Row],[corpusMeanLenChars]]=500, Table1[[#This Row],[mem-amt]], "")</f>
        <v/>
      </c>
    </row>
    <row r="8" spans="1:34" x14ac:dyDescent="0.25">
      <c r="A8" s="1" t="s">
        <v>71</v>
      </c>
      <c r="B8" s="1" t="str">
        <f>Table1[[#This Row],[test]]&amp;"@"&amp;Table1[[#This Row],[corpus]]</f>
        <v>perfexp-cfa-pal-ll-share-na@corpus-1-50-1.txt</v>
      </c>
      <c r="C8" s="5" t="s">
        <v>66</v>
      </c>
      <c r="D8" s="5" t="s">
        <v>61</v>
      </c>
      <c r="E8" s="5">
        <v>0.02</v>
      </c>
      <c r="F8" s="5" t="s">
        <v>45</v>
      </c>
      <c r="G8" s="5">
        <v>1</v>
      </c>
      <c r="H8" s="5">
        <v>50</v>
      </c>
      <c r="I8" s="29">
        <v>254680000</v>
      </c>
      <c r="J8" s="33">
        <v>10.000083</v>
      </c>
      <c r="K8" s="13" t="str">
        <f>MID(Table1[[#This Row],[test]], LEN("perfexp-")+1, 9999)</f>
        <v>cfa-pal-ll-share-na</v>
      </c>
      <c r="L8" s="1">
        <f>FIND("-p", Table1[[#This Row],[test-allvar]])+LEN("-")</f>
        <v>5</v>
      </c>
      <c r="M8" s="1" t="str">
        <f>MID(Table1[[#This Row],[test-allvar]], Table1[[#This Row],[operation-idx]], LEN("pta"))</f>
        <v>pal</v>
      </c>
      <c r="N8" s="1" t="str">
        <f>LEFT(Table1[[#This Row],[test-allvar]], Table1[[#This Row],[operation-idx]]-LEN("-")-1) &amp; MID(Table1[[#This Row],[test-allvar]], Table1[[#This Row],[operation-idx]]+LEN(Table1[[#This Row],[operation]]), 9999)</f>
        <v>cfa-ll-share-na</v>
      </c>
      <c r="O8" s="1" t="str">
        <f>IFERROR( LEFT(Table1[[#This Row],[sut]], FIND("-", Table1[[#This Row],[sut]])-1), Table1[[#This Row],[sut]])</f>
        <v>cfa</v>
      </c>
      <c r="P8" s="1" t="str">
        <f>IF(Table1[[#This Row],[sut-platform]]="cfa", MID(Table1[[#This Row],[sut]], 5, 2), "~na~")</f>
        <v>ll</v>
      </c>
      <c r="Q8" s="1" t="str">
        <f>IF(Table1[[#This Row],[sut-platform]]="cfa", MID(Table1[[#This Row],[sut]], 8, 999), Table1[[#This Row],[sut-cfa-level]])</f>
        <v>share-na</v>
      </c>
      <c r="R8" s="1" t="str">
        <f>IF(Table1[[#This Row],[sut-platform]]="cfa", LEFT(Table1[[#This Row],[suffix-cfa-sharing-alloc]], FIND("-",Table1[[#This Row],[suffix-cfa-sharing-alloc]])-1), "~na~")</f>
        <v>share</v>
      </c>
      <c r="S8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T8" s="1" t="str">
        <f>MID(Table1[[#This Row],[corpus]], LEN("corpus-")+1, 999)</f>
        <v>1-50-1.txt</v>
      </c>
      <c r="U8" s="1" t="str">
        <f>LEFT(Table1[[#This Row],[corpus-varsuffix]], FIND(".txt", Table1[[#This Row],[corpus-varsuffix]])-1)</f>
        <v>1-50-1</v>
      </c>
      <c r="V8" s="1">
        <f>INT(LEFT(Table1[[#This Row],[corpus-allvar]], FIND("-", Table1[[#This Row],[corpus-varsuffix]])-1))</f>
        <v>1</v>
      </c>
      <c r="W8" s="1" t="str">
        <f>MID(Table1[[#This Row],[corpus-allvar]], LEN(Table1[[#This Row],[corpus-nstrs]])+2, 999)</f>
        <v>50-1</v>
      </c>
      <c r="X8" s="1">
        <f>INT(LEFT(Table1[[#This Row],[corpus-varsuffix2]], FIND("-", Table1[[#This Row],[corpus-varsuffix2]])-1))</f>
        <v>50</v>
      </c>
      <c r="Y8" s="1">
        <f>INT(MID(Table1[[#This Row],[corpus-varsuffix2]], LEN(Table1[[#This Row],[corpus-meanlen]])+2, 999))</f>
        <v>1</v>
      </c>
      <c r="Z8" s="4">
        <f>Table1[[#This Row],[concatDoneActualCount]]/Table1[[#This Row],[execTimeActualSec]]</f>
        <v>25467788.617354475</v>
      </c>
      <c r="AA8" s="4">
        <f>CONVERT(Table1[[#This Row],[execTimeActualSec]]/Table1[[#This Row],[concatDoneActualCount]], "s", "ns")</f>
        <v>39.265285848908434</v>
      </c>
      <c r="AB8" s="1" t="str">
        <f>Table1[[#This Row],[corpus-meanlen]]&amp;"-"&amp;Table1[[#This Row],[heapGrowThreshold]]</f>
        <v>50-0.02</v>
      </c>
      <c r="AC8" s="1">
        <f>INDEX(importmem[seclast_req_mem], MATCH(Table1[[#This Row],[memrowid]], importmem[rowid], 0))</f>
        <v>4107966</v>
      </c>
      <c r="AD8" s="1" t="str">
        <f>IF(Table1[[#This Row],[corpusMeanLenChars]]=20, Table1[[#This Row],[mem-amt]], "")</f>
        <v/>
      </c>
      <c r="AE8" s="1">
        <f>IF(Table1[[#This Row],[corpusMeanLenChars]]=50, Table1[[#This Row],[mem-amt]], "")</f>
        <v>4107966</v>
      </c>
      <c r="AF8" s="1" t="str">
        <f>IF(Table1[[#This Row],[corpusMeanLenChars]]=100, Table1[[#This Row],[mem-amt]], "")</f>
        <v/>
      </c>
      <c r="AG8" s="1" t="str">
        <f>IF(Table1[[#This Row],[corpusMeanLenChars]]=200, Table1[[#This Row],[mem-amt]], "")</f>
        <v/>
      </c>
      <c r="AH8" s="1" t="str">
        <f>IF(Table1[[#This Row],[corpusMeanLenChars]]=500, Table1[[#This Row],[mem-amt]], "")</f>
        <v/>
      </c>
    </row>
    <row r="9" spans="1:34" x14ac:dyDescent="0.25">
      <c r="A9" s="1" t="s">
        <v>71</v>
      </c>
      <c r="B9" s="1" t="str">
        <f>Table1[[#This Row],[test]]&amp;"@"&amp;Table1[[#This Row],[corpus]]</f>
        <v>perfexp-cfa-pal-ll-share-na@corpus-1-50-1.txt</v>
      </c>
      <c r="C9" s="5" t="s">
        <v>66</v>
      </c>
      <c r="D9" s="5" t="s">
        <v>61</v>
      </c>
      <c r="E9" s="5">
        <v>0.05</v>
      </c>
      <c r="F9" s="5" t="s">
        <v>45</v>
      </c>
      <c r="G9" s="5">
        <v>1</v>
      </c>
      <c r="H9" s="5">
        <v>50</v>
      </c>
      <c r="I9" s="29">
        <v>255110000</v>
      </c>
      <c r="J9" s="33">
        <v>10.000045999999999</v>
      </c>
      <c r="K9" s="13" t="str">
        <f>MID(Table1[[#This Row],[test]], LEN("perfexp-")+1, 9999)</f>
        <v>cfa-pal-ll-share-na</v>
      </c>
      <c r="L9" s="1">
        <f>FIND("-p", Table1[[#This Row],[test-allvar]])+LEN("-")</f>
        <v>5</v>
      </c>
      <c r="M9" s="1" t="str">
        <f>MID(Table1[[#This Row],[test-allvar]], Table1[[#This Row],[operation-idx]], LEN("pta"))</f>
        <v>pal</v>
      </c>
      <c r="N9" s="1" t="str">
        <f>LEFT(Table1[[#This Row],[test-allvar]], Table1[[#This Row],[operation-idx]]-LEN("-")-1) &amp; MID(Table1[[#This Row],[test-allvar]], Table1[[#This Row],[operation-idx]]+LEN(Table1[[#This Row],[operation]]), 9999)</f>
        <v>cfa-ll-share-na</v>
      </c>
      <c r="O9" s="1" t="str">
        <f>IFERROR( LEFT(Table1[[#This Row],[sut]], FIND("-", Table1[[#This Row],[sut]])-1), Table1[[#This Row],[sut]])</f>
        <v>cfa</v>
      </c>
      <c r="P9" s="1" t="str">
        <f>IF(Table1[[#This Row],[sut-platform]]="cfa", MID(Table1[[#This Row],[sut]], 5, 2), "~na~")</f>
        <v>ll</v>
      </c>
      <c r="Q9" s="1" t="str">
        <f>IF(Table1[[#This Row],[sut-platform]]="cfa", MID(Table1[[#This Row],[sut]], 8, 999), Table1[[#This Row],[sut-cfa-level]])</f>
        <v>share-na</v>
      </c>
      <c r="R9" s="1" t="str">
        <f>IF(Table1[[#This Row],[sut-platform]]="cfa", LEFT(Table1[[#This Row],[suffix-cfa-sharing-alloc]], FIND("-",Table1[[#This Row],[suffix-cfa-sharing-alloc]])-1), "~na~")</f>
        <v>share</v>
      </c>
      <c r="S9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T9" s="1" t="str">
        <f>MID(Table1[[#This Row],[corpus]], LEN("corpus-")+1, 999)</f>
        <v>1-50-1.txt</v>
      </c>
      <c r="U9" s="1" t="str">
        <f>LEFT(Table1[[#This Row],[corpus-varsuffix]], FIND(".txt", Table1[[#This Row],[corpus-varsuffix]])-1)</f>
        <v>1-50-1</v>
      </c>
      <c r="V9" s="1">
        <f>INT(LEFT(Table1[[#This Row],[corpus-allvar]], FIND("-", Table1[[#This Row],[corpus-varsuffix]])-1))</f>
        <v>1</v>
      </c>
      <c r="W9" s="1" t="str">
        <f>MID(Table1[[#This Row],[corpus-allvar]], LEN(Table1[[#This Row],[corpus-nstrs]])+2, 999)</f>
        <v>50-1</v>
      </c>
      <c r="X9" s="1">
        <f>INT(LEFT(Table1[[#This Row],[corpus-varsuffix2]], FIND("-", Table1[[#This Row],[corpus-varsuffix2]])-1))</f>
        <v>50</v>
      </c>
      <c r="Y9" s="1">
        <f>INT(MID(Table1[[#This Row],[corpus-varsuffix2]], LEN(Table1[[#This Row],[corpus-meanlen]])+2, 999))</f>
        <v>1</v>
      </c>
      <c r="Z9" s="4">
        <f>Table1[[#This Row],[concatDoneActualCount]]/Table1[[#This Row],[execTimeActualSec]]</f>
        <v>25510882.649939813</v>
      </c>
      <c r="AA9" s="4">
        <f>CONVERT(Table1[[#This Row],[execTimeActualSec]]/Table1[[#This Row],[concatDoneActualCount]], "s", "ns")</f>
        <v>39.198957312531846</v>
      </c>
      <c r="AB9" s="1" t="str">
        <f>Table1[[#This Row],[corpus-meanlen]]&amp;"-"&amp;Table1[[#This Row],[heapGrowThreshold]]</f>
        <v>50-0.05</v>
      </c>
      <c r="AC9" s="1">
        <f>INDEX(importmem[seclast_req_mem], MATCH(Table1[[#This Row],[memrowid]], importmem[rowid], 0))</f>
        <v>1035966</v>
      </c>
      <c r="AD9" s="1" t="str">
        <f>IF(Table1[[#This Row],[corpusMeanLenChars]]=20, Table1[[#This Row],[mem-amt]], "")</f>
        <v/>
      </c>
      <c r="AE9" s="1">
        <f>IF(Table1[[#This Row],[corpusMeanLenChars]]=50, Table1[[#This Row],[mem-amt]], "")</f>
        <v>1035966</v>
      </c>
      <c r="AF9" s="1" t="str">
        <f>IF(Table1[[#This Row],[corpusMeanLenChars]]=100, Table1[[#This Row],[mem-amt]], "")</f>
        <v/>
      </c>
      <c r="AG9" s="1" t="str">
        <f>IF(Table1[[#This Row],[corpusMeanLenChars]]=200, Table1[[#This Row],[mem-amt]], "")</f>
        <v/>
      </c>
      <c r="AH9" s="1" t="str">
        <f>IF(Table1[[#This Row],[corpusMeanLenChars]]=500, Table1[[#This Row],[mem-amt]], "")</f>
        <v/>
      </c>
    </row>
    <row r="10" spans="1:34" x14ac:dyDescent="0.25">
      <c r="A10" s="1" t="s">
        <v>71</v>
      </c>
      <c r="B10" s="1" t="str">
        <f>Table1[[#This Row],[test]]&amp;"@"&amp;Table1[[#This Row],[corpus]]</f>
        <v>perfexp-cfa-pal-ll-share-na@corpus-1-50-1.txt</v>
      </c>
      <c r="C10" s="5" t="s">
        <v>66</v>
      </c>
      <c r="D10" s="5" t="s">
        <v>61</v>
      </c>
      <c r="E10" s="5">
        <v>0.1</v>
      </c>
      <c r="F10" s="5" t="s">
        <v>45</v>
      </c>
      <c r="G10" s="5">
        <v>1</v>
      </c>
      <c r="H10" s="5">
        <v>50</v>
      </c>
      <c r="I10" s="29">
        <v>250770000</v>
      </c>
      <c r="J10" s="33">
        <v>10.000318999999999</v>
      </c>
      <c r="K10" s="13" t="str">
        <f>MID(Table1[[#This Row],[test]], LEN("perfexp-")+1, 9999)</f>
        <v>cfa-pal-ll-share-na</v>
      </c>
      <c r="L10" s="1">
        <f>FIND("-p", Table1[[#This Row],[test-allvar]])+LEN("-")</f>
        <v>5</v>
      </c>
      <c r="M10" s="1" t="str">
        <f>MID(Table1[[#This Row],[test-allvar]], Table1[[#This Row],[operation-idx]], LEN("pta"))</f>
        <v>pal</v>
      </c>
      <c r="N10" s="1" t="str">
        <f>LEFT(Table1[[#This Row],[test-allvar]], Table1[[#This Row],[operation-idx]]-LEN("-")-1) &amp; MID(Table1[[#This Row],[test-allvar]], Table1[[#This Row],[operation-idx]]+LEN(Table1[[#This Row],[operation]]), 9999)</f>
        <v>cfa-ll-share-na</v>
      </c>
      <c r="O10" s="1" t="str">
        <f>IFERROR( LEFT(Table1[[#This Row],[sut]], FIND("-", Table1[[#This Row],[sut]])-1), Table1[[#This Row],[sut]])</f>
        <v>cfa</v>
      </c>
      <c r="P10" s="1" t="str">
        <f>IF(Table1[[#This Row],[sut-platform]]="cfa", MID(Table1[[#This Row],[sut]], 5, 2), "~na~")</f>
        <v>ll</v>
      </c>
      <c r="Q10" s="1" t="str">
        <f>IF(Table1[[#This Row],[sut-platform]]="cfa", MID(Table1[[#This Row],[sut]], 8, 999), Table1[[#This Row],[sut-cfa-level]])</f>
        <v>share-na</v>
      </c>
      <c r="R10" s="1" t="str">
        <f>IF(Table1[[#This Row],[sut-platform]]="cfa", LEFT(Table1[[#This Row],[suffix-cfa-sharing-alloc]], FIND("-",Table1[[#This Row],[suffix-cfa-sharing-alloc]])-1), "~na~")</f>
        <v>share</v>
      </c>
      <c r="S10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T10" s="1" t="str">
        <f>MID(Table1[[#This Row],[corpus]], LEN("corpus-")+1, 999)</f>
        <v>1-50-1.txt</v>
      </c>
      <c r="U10" s="1" t="str">
        <f>LEFT(Table1[[#This Row],[corpus-varsuffix]], FIND(".txt", Table1[[#This Row],[corpus-varsuffix]])-1)</f>
        <v>1-50-1</v>
      </c>
      <c r="V10" s="1">
        <f>INT(LEFT(Table1[[#This Row],[corpus-allvar]], FIND("-", Table1[[#This Row],[corpus-varsuffix]])-1))</f>
        <v>1</v>
      </c>
      <c r="W10" s="1" t="str">
        <f>MID(Table1[[#This Row],[corpus-allvar]], LEN(Table1[[#This Row],[corpus-nstrs]])+2, 999)</f>
        <v>50-1</v>
      </c>
      <c r="X10" s="1">
        <f>INT(LEFT(Table1[[#This Row],[corpus-varsuffix2]], FIND("-", Table1[[#This Row],[corpus-varsuffix2]])-1))</f>
        <v>50</v>
      </c>
      <c r="Y10" s="1">
        <f>INT(MID(Table1[[#This Row],[corpus-varsuffix2]], LEN(Table1[[#This Row],[corpus-meanlen]])+2, 999))</f>
        <v>1</v>
      </c>
      <c r="Z10" s="4">
        <f>Table1[[#This Row],[concatDoneActualCount]]/Table1[[#This Row],[execTimeActualSec]]</f>
        <v>25076200.069217794</v>
      </c>
      <c r="AA10" s="4">
        <f>CONVERT(Table1[[#This Row],[execTimeActualSec]]/Table1[[#This Row],[concatDoneActualCount]], "s", "ns")</f>
        <v>39.878450372851617</v>
      </c>
      <c r="AB10" s="1" t="str">
        <f>Table1[[#This Row],[corpus-meanlen]]&amp;"-"&amp;Table1[[#This Row],[heapGrowThreshold]]</f>
        <v>50-0.1</v>
      </c>
      <c r="AC10" s="1">
        <f>INDEX(importmem[seclast_req_mem], MATCH(Table1[[#This Row],[memrowid]], importmem[rowid], 0))</f>
        <v>523966</v>
      </c>
      <c r="AD10" s="1" t="str">
        <f>IF(Table1[[#This Row],[corpusMeanLenChars]]=20, Table1[[#This Row],[mem-amt]], "")</f>
        <v/>
      </c>
      <c r="AE10" s="1">
        <f>IF(Table1[[#This Row],[corpusMeanLenChars]]=50, Table1[[#This Row],[mem-amt]], "")</f>
        <v>523966</v>
      </c>
      <c r="AF10" s="1" t="str">
        <f>IF(Table1[[#This Row],[corpusMeanLenChars]]=100, Table1[[#This Row],[mem-amt]], "")</f>
        <v/>
      </c>
      <c r="AG10" s="1" t="str">
        <f>IF(Table1[[#This Row],[corpusMeanLenChars]]=200, Table1[[#This Row],[mem-amt]], "")</f>
        <v/>
      </c>
      <c r="AH10" s="1" t="str">
        <f>IF(Table1[[#This Row],[corpusMeanLenChars]]=500, Table1[[#This Row],[mem-amt]], "")</f>
        <v/>
      </c>
    </row>
    <row r="11" spans="1:34" x14ac:dyDescent="0.25">
      <c r="A11" s="1" t="s">
        <v>71</v>
      </c>
      <c r="B11" s="1" t="str">
        <f>Table1[[#This Row],[test]]&amp;"@"&amp;Table1[[#This Row],[corpus]]</f>
        <v>perfexp-cfa-pal-ll-share-na@corpus-1-50-1.txt</v>
      </c>
      <c r="C11" s="5" t="s">
        <v>66</v>
      </c>
      <c r="D11" s="5" t="s">
        <v>61</v>
      </c>
      <c r="E11" s="5">
        <v>0.2</v>
      </c>
      <c r="F11" s="5" t="s">
        <v>45</v>
      </c>
      <c r="G11" s="5">
        <v>1</v>
      </c>
      <c r="H11" s="5">
        <v>50</v>
      </c>
      <c r="I11" s="29">
        <v>199020000</v>
      </c>
      <c r="J11" s="33">
        <v>10.000203000000001</v>
      </c>
      <c r="K11" s="13" t="str">
        <f>MID(Table1[[#This Row],[test]], LEN("perfexp-")+1, 9999)</f>
        <v>cfa-pal-ll-share-na</v>
      </c>
      <c r="L11" s="1">
        <f>FIND("-p", Table1[[#This Row],[test-allvar]])+LEN("-")</f>
        <v>5</v>
      </c>
      <c r="M11" s="1" t="str">
        <f>MID(Table1[[#This Row],[test-allvar]], Table1[[#This Row],[operation-idx]], LEN("pta"))</f>
        <v>pal</v>
      </c>
      <c r="N11" s="1" t="str">
        <f>LEFT(Table1[[#This Row],[test-allvar]], Table1[[#This Row],[operation-idx]]-LEN("-")-1) &amp; MID(Table1[[#This Row],[test-allvar]], Table1[[#This Row],[operation-idx]]+LEN(Table1[[#This Row],[operation]]), 9999)</f>
        <v>cfa-ll-share-na</v>
      </c>
      <c r="O11" s="1" t="str">
        <f>IFERROR( LEFT(Table1[[#This Row],[sut]], FIND("-", Table1[[#This Row],[sut]])-1), Table1[[#This Row],[sut]])</f>
        <v>cfa</v>
      </c>
      <c r="P11" s="1" t="str">
        <f>IF(Table1[[#This Row],[sut-platform]]="cfa", MID(Table1[[#This Row],[sut]], 5, 2), "~na~")</f>
        <v>ll</v>
      </c>
      <c r="Q11" s="1" t="str">
        <f>IF(Table1[[#This Row],[sut-platform]]="cfa", MID(Table1[[#This Row],[sut]], 8, 999), Table1[[#This Row],[sut-cfa-level]])</f>
        <v>share-na</v>
      </c>
      <c r="R11" s="1" t="str">
        <f>IF(Table1[[#This Row],[sut-platform]]="cfa", LEFT(Table1[[#This Row],[suffix-cfa-sharing-alloc]], FIND("-",Table1[[#This Row],[suffix-cfa-sharing-alloc]])-1), "~na~")</f>
        <v>share</v>
      </c>
      <c r="S11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T11" s="1" t="str">
        <f>MID(Table1[[#This Row],[corpus]], LEN("corpus-")+1, 999)</f>
        <v>1-50-1.txt</v>
      </c>
      <c r="U11" s="1" t="str">
        <f>LEFT(Table1[[#This Row],[corpus-varsuffix]], FIND(".txt", Table1[[#This Row],[corpus-varsuffix]])-1)</f>
        <v>1-50-1</v>
      </c>
      <c r="V11" s="1">
        <f>INT(LEFT(Table1[[#This Row],[corpus-allvar]], FIND("-", Table1[[#This Row],[corpus-varsuffix]])-1))</f>
        <v>1</v>
      </c>
      <c r="W11" s="1" t="str">
        <f>MID(Table1[[#This Row],[corpus-allvar]], LEN(Table1[[#This Row],[corpus-nstrs]])+2, 999)</f>
        <v>50-1</v>
      </c>
      <c r="X11" s="1">
        <f>INT(LEFT(Table1[[#This Row],[corpus-varsuffix2]], FIND("-", Table1[[#This Row],[corpus-varsuffix2]])-1))</f>
        <v>50</v>
      </c>
      <c r="Y11" s="1">
        <f>INT(MID(Table1[[#This Row],[corpus-varsuffix2]], LEN(Table1[[#This Row],[corpus-meanlen]])+2, 999))</f>
        <v>1</v>
      </c>
      <c r="Z11" s="4">
        <f>Table1[[#This Row],[concatDoneActualCount]]/Table1[[#This Row],[execTimeActualSec]]</f>
        <v>19901595.997601248</v>
      </c>
      <c r="AA11" s="4">
        <f>CONVERT(Table1[[#This Row],[execTimeActualSec]]/Table1[[#This Row],[concatDoneActualCount]], "s", "ns")</f>
        <v>50.247226409406096</v>
      </c>
      <c r="AB11" s="1" t="str">
        <f>Table1[[#This Row],[corpus-meanlen]]&amp;"-"&amp;Table1[[#This Row],[heapGrowThreshold]]</f>
        <v>50-0.2</v>
      </c>
      <c r="AC11" s="1">
        <f>INDEX(importmem[seclast_req_mem], MATCH(Table1[[#This Row],[memrowid]], importmem[rowid], 0))</f>
        <v>267966</v>
      </c>
      <c r="AD11" s="1" t="str">
        <f>IF(Table1[[#This Row],[corpusMeanLenChars]]=20, Table1[[#This Row],[mem-amt]], "")</f>
        <v/>
      </c>
      <c r="AE11" s="1">
        <f>IF(Table1[[#This Row],[corpusMeanLenChars]]=50, Table1[[#This Row],[mem-amt]], "")</f>
        <v>267966</v>
      </c>
      <c r="AF11" s="1" t="str">
        <f>IF(Table1[[#This Row],[corpusMeanLenChars]]=100, Table1[[#This Row],[mem-amt]], "")</f>
        <v/>
      </c>
      <c r="AG11" s="1" t="str">
        <f>IF(Table1[[#This Row],[corpusMeanLenChars]]=200, Table1[[#This Row],[mem-amt]], "")</f>
        <v/>
      </c>
      <c r="AH11" s="1" t="str">
        <f>IF(Table1[[#This Row],[corpusMeanLenChars]]=500, Table1[[#This Row],[mem-amt]], "")</f>
        <v/>
      </c>
    </row>
    <row r="12" spans="1:34" x14ac:dyDescent="0.25">
      <c r="A12" s="1" t="s">
        <v>71</v>
      </c>
      <c r="B12" s="1" t="str">
        <f>Table1[[#This Row],[test]]&amp;"@"&amp;Table1[[#This Row],[corpus]]</f>
        <v>perfexp-cfa-pal-ll-share-na@corpus-1-50-1.txt</v>
      </c>
      <c r="C12" s="5" t="s">
        <v>66</v>
      </c>
      <c r="D12" s="5" t="s">
        <v>61</v>
      </c>
      <c r="E12" s="5">
        <v>0.5</v>
      </c>
      <c r="F12" s="5" t="s">
        <v>45</v>
      </c>
      <c r="G12" s="5">
        <v>1</v>
      </c>
      <c r="H12" s="5">
        <v>50</v>
      </c>
      <c r="I12" s="29">
        <v>227630000</v>
      </c>
      <c r="J12" s="33">
        <v>10.000235</v>
      </c>
      <c r="K12" s="13" t="str">
        <f>MID(Table1[[#This Row],[test]], LEN("perfexp-")+1, 9999)</f>
        <v>cfa-pal-ll-share-na</v>
      </c>
      <c r="L12" s="1">
        <f>FIND("-p", Table1[[#This Row],[test-allvar]])+LEN("-")</f>
        <v>5</v>
      </c>
      <c r="M12" s="1" t="str">
        <f>MID(Table1[[#This Row],[test-allvar]], Table1[[#This Row],[operation-idx]], LEN("pta"))</f>
        <v>pal</v>
      </c>
      <c r="N12" s="1" t="str">
        <f>LEFT(Table1[[#This Row],[test-allvar]], Table1[[#This Row],[operation-idx]]-LEN("-")-1) &amp; MID(Table1[[#This Row],[test-allvar]], Table1[[#This Row],[operation-idx]]+LEN(Table1[[#This Row],[operation]]), 9999)</f>
        <v>cfa-ll-share-na</v>
      </c>
      <c r="O12" s="1" t="str">
        <f>IFERROR( LEFT(Table1[[#This Row],[sut]], FIND("-", Table1[[#This Row],[sut]])-1), Table1[[#This Row],[sut]])</f>
        <v>cfa</v>
      </c>
      <c r="P12" s="1" t="str">
        <f>IF(Table1[[#This Row],[sut-platform]]="cfa", MID(Table1[[#This Row],[sut]], 5, 2), "~na~")</f>
        <v>ll</v>
      </c>
      <c r="Q12" s="1" t="str">
        <f>IF(Table1[[#This Row],[sut-platform]]="cfa", MID(Table1[[#This Row],[sut]], 8, 999), Table1[[#This Row],[sut-cfa-level]])</f>
        <v>share-na</v>
      </c>
      <c r="R12" s="1" t="str">
        <f>IF(Table1[[#This Row],[sut-platform]]="cfa", LEFT(Table1[[#This Row],[suffix-cfa-sharing-alloc]], FIND("-",Table1[[#This Row],[suffix-cfa-sharing-alloc]])-1), "~na~")</f>
        <v>share</v>
      </c>
      <c r="S12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T12" s="1" t="str">
        <f>MID(Table1[[#This Row],[corpus]], LEN("corpus-")+1, 999)</f>
        <v>1-50-1.txt</v>
      </c>
      <c r="U12" s="1" t="str">
        <f>LEFT(Table1[[#This Row],[corpus-varsuffix]], FIND(".txt", Table1[[#This Row],[corpus-varsuffix]])-1)</f>
        <v>1-50-1</v>
      </c>
      <c r="V12" s="1">
        <f>INT(LEFT(Table1[[#This Row],[corpus-allvar]], FIND("-", Table1[[#This Row],[corpus-varsuffix]])-1))</f>
        <v>1</v>
      </c>
      <c r="W12" s="1" t="str">
        <f>MID(Table1[[#This Row],[corpus-allvar]], LEN(Table1[[#This Row],[corpus-nstrs]])+2, 999)</f>
        <v>50-1</v>
      </c>
      <c r="X12" s="1">
        <f>INT(LEFT(Table1[[#This Row],[corpus-varsuffix2]], FIND("-", Table1[[#This Row],[corpus-varsuffix2]])-1))</f>
        <v>50</v>
      </c>
      <c r="Y12" s="1">
        <f>INT(MID(Table1[[#This Row],[corpus-varsuffix2]], LEN(Table1[[#This Row],[corpus-meanlen]])+2, 999))</f>
        <v>1</v>
      </c>
      <c r="Z12" s="4">
        <f>Table1[[#This Row],[concatDoneActualCount]]/Table1[[#This Row],[execTimeActualSec]]</f>
        <v>22762465.08207057</v>
      </c>
      <c r="AA12" s="4">
        <f>CONVERT(Table1[[#This Row],[execTimeActualSec]]/Table1[[#This Row],[concatDoneActualCount]], "s", "ns")</f>
        <v>43.931972938540611</v>
      </c>
      <c r="AB12" s="1" t="str">
        <f>Table1[[#This Row],[corpus-meanlen]]&amp;"-"&amp;Table1[[#This Row],[heapGrowThreshold]]</f>
        <v>50-0.5</v>
      </c>
      <c r="AC12" s="1">
        <f>INDEX(importmem[seclast_req_mem], MATCH(Table1[[#This Row],[memrowid]], importmem[rowid], 0))</f>
        <v>139966</v>
      </c>
      <c r="AD12" s="1" t="str">
        <f>IF(Table1[[#This Row],[corpusMeanLenChars]]=20, Table1[[#This Row],[mem-amt]], "")</f>
        <v/>
      </c>
      <c r="AE12" s="1">
        <f>IF(Table1[[#This Row],[corpusMeanLenChars]]=50, Table1[[#This Row],[mem-amt]], "")</f>
        <v>139966</v>
      </c>
      <c r="AF12" s="1" t="str">
        <f>IF(Table1[[#This Row],[corpusMeanLenChars]]=100, Table1[[#This Row],[mem-amt]], "")</f>
        <v/>
      </c>
      <c r="AG12" s="1" t="str">
        <f>IF(Table1[[#This Row],[corpusMeanLenChars]]=200, Table1[[#This Row],[mem-amt]], "")</f>
        <v/>
      </c>
      <c r="AH12" s="1" t="str">
        <f>IF(Table1[[#This Row],[corpusMeanLenChars]]=500, Table1[[#This Row],[mem-amt]], "")</f>
        <v/>
      </c>
    </row>
    <row r="13" spans="1:34" x14ac:dyDescent="0.25">
      <c r="A13" s="1" t="s">
        <v>71</v>
      </c>
      <c r="B13" s="1" t="str">
        <f>Table1[[#This Row],[test]]&amp;"@"&amp;Table1[[#This Row],[corpus]]</f>
        <v>perfexp-cfa-pal-ll-share-na@corpus-1-50-1.txt</v>
      </c>
      <c r="C13" s="5" t="s">
        <v>66</v>
      </c>
      <c r="D13" s="5" t="s">
        <v>61</v>
      </c>
      <c r="E13" s="5">
        <v>0.9</v>
      </c>
      <c r="F13" s="5" t="s">
        <v>45</v>
      </c>
      <c r="G13" s="5">
        <v>1</v>
      </c>
      <c r="H13" s="5">
        <v>50</v>
      </c>
      <c r="I13" s="29">
        <v>179660000</v>
      </c>
      <c r="J13" s="33">
        <v>10.000283</v>
      </c>
      <c r="K13" s="13" t="str">
        <f>MID(Table1[[#This Row],[test]], LEN("perfexp-")+1, 9999)</f>
        <v>cfa-pal-ll-share-na</v>
      </c>
      <c r="L13" s="1">
        <f>FIND("-p", Table1[[#This Row],[test-allvar]])+LEN("-")</f>
        <v>5</v>
      </c>
      <c r="M13" s="1" t="str">
        <f>MID(Table1[[#This Row],[test-allvar]], Table1[[#This Row],[operation-idx]], LEN("pta"))</f>
        <v>pal</v>
      </c>
      <c r="N13" s="1" t="str">
        <f>LEFT(Table1[[#This Row],[test-allvar]], Table1[[#This Row],[operation-idx]]-LEN("-")-1) &amp; MID(Table1[[#This Row],[test-allvar]], Table1[[#This Row],[operation-idx]]+LEN(Table1[[#This Row],[operation]]), 9999)</f>
        <v>cfa-ll-share-na</v>
      </c>
      <c r="O13" s="1" t="str">
        <f>IFERROR( LEFT(Table1[[#This Row],[sut]], FIND("-", Table1[[#This Row],[sut]])-1), Table1[[#This Row],[sut]])</f>
        <v>cfa</v>
      </c>
      <c r="P13" s="1" t="str">
        <f>IF(Table1[[#This Row],[sut-platform]]="cfa", MID(Table1[[#This Row],[sut]], 5, 2), "~na~")</f>
        <v>ll</v>
      </c>
      <c r="Q13" s="1" t="str">
        <f>IF(Table1[[#This Row],[sut-platform]]="cfa", MID(Table1[[#This Row],[sut]], 8, 999), Table1[[#This Row],[sut-cfa-level]])</f>
        <v>share-na</v>
      </c>
      <c r="R13" s="1" t="str">
        <f>IF(Table1[[#This Row],[sut-platform]]="cfa", LEFT(Table1[[#This Row],[suffix-cfa-sharing-alloc]], FIND("-",Table1[[#This Row],[suffix-cfa-sharing-alloc]])-1), "~na~")</f>
        <v>share</v>
      </c>
      <c r="S13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T13" s="1" t="str">
        <f>MID(Table1[[#This Row],[corpus]], LEN("corpus-")+1, 999)</f>
        <v>1-50-1.txt</v>
      </c>
      <c r="U13" s="1" t="str">
        <f>LEFT(Table1[[#This Row],[corpus-varsuffix]], FIND(".txt", Table1[[#This Row],[corpus-varsuffix]])-1)</f>
        <v>1-50-1</v>
      </c>
      <c r="V13" s="1">
        <f>INT(LEFT(Table1[[#This Row],[corpus-allvar]], FIND("-", Table1[[#This Row],[corpus-varsuffix]])-1))</f>
        <v>1</v>
      </c>
      <c r="W13" s="1" t="str">
        <f>MID(Table1[[#This Row],[corpus-allvar]], LEN(Table1[[#This Row],[corpus-nstrs]])+2, 999)</f>
        <v>50-1</v>
      </c>
      <c r="X13" s="1">
        <f>INT(LEFT(Table1[[#This Row],[corpus-varsuffix2]], FIND("-", Table1[[#This Row],[corpus-varsuffix2]])-1))</f>
        <v>50</v>
      </c>
      <c r="Y13" s="1">
        <f>INT(MID(Table1[[#This Row],[corpus-varsuffix2]], LEN(Table1[[#This Row],[corpus-meanlen]])+2, 999))</f>
        <v>1</v>
      </c>
      <c r="Z13" s="4">
        <f>Table1[[#This Row],[concatDoneActualCount]]/Table1[[#This Row],[execTimeActualSec]]</f>
        <v>17965491.576588385</v>
      </c>
      <c r="AA13" s="4">
        <f>CONVERT(Table1[[#This Row],[execTimeActualSec]]/Table1[[#This Row],[concatDoneActualCount]], "s", "ns")</f>
        <v>55.662267616609149</v>
      </c>
      <c r="AB13" s="1" t="str">
        <f>Table1[[#This Row],[corpus-meanlen]]&amp;"-"&amp;Table1[[#This Row],[heapGrowThreshold]]</f>
        <v>50-0.9</v>
      </c>
      <c r="AC13" s="1">
        <f>INDEX(importmem[seclast_req_mem], MATCH(Table1[[#This Row],[memrowid]], importmem[rowid], 0))</f>
        <v>75966</v>
      </c>
      <c r="AD13" s="1" t="str">
        <f>IF(Table1[[#This Row],[corpusMeanLenChars]]=20, Table1[[#This Row],[mem-amt]], "")</f>
        <v/>
      </c>
      <c r="AE13" s="1">
        <f>IF(Table1[[#This Row],[corpusMeanLenChars]]=50, Table1[[#This Row],[mem-amt]], "")</f>
        <v>75966</v>
      </c>
      <c r="AF13" s="1" t="str">
        <f>IF(Table1[[#This Row],[corpusMeanLenChars]]=100, Table1[[#This Row],[mem-amt]], "")</f>
        <v/>
      </c>
      <c r="AG13" s="1" t="str">
        <f>IF(Table1[[#This Row],[corpusMeanLenChars]]=200, Table1[[#This Row],[mem-amt]], "")</f>
        <v/>
      </c>
      <c r="AH13" s="1" t="str">
        <f>IF(Table1[[#This Row],[corpusMeanLenChars]]=500, Table1[[#This Row],[mem-amt]], "")</f>
        <v/>
      </c>
    </row>
    <row r="14" spans="1:34" x14ac:dyDescent="0.25">
      <c r="A14" s="1" t="s">
        <v>70</v>
      </c>
      <c r="B14" s="1" t="str">
        <f>Table1[[#This Row],[test]]&amp;"@"&amp;Table1[[#This Row],[corpus]]</f>
        <v>perfexp-cfa-pal-ll-share-na@corpus-1-100-1.txt</v>
      </c>
      <c r="C14" s="5" t="s">
        <v>66</v>
      </c>
      <c r="D14" s="5" t="s">
        <v>56</v>
      </c>
      <c r="E14" s="5">
        <v>0.02</v>
      </c>
      <c r="F14" s="5" t="s">
        <v>45</v>
      </c>
      <c r="G14" s="5">
        <v>1</v>
      </c>
      <c r="H14" s="5">
        <v>100</v>
      </c>
      <c r="I14" s="29">
        <v>202180000</v>
      </c>
      <c r="J14" s="33">
        <v>10.000014999999999</v>
      </c>
      <c r="K14" t="str">
        <f>MID(Table1[[#This Row],[test]], LEN("perfexp-")+1, 9999)</f>
        <v>cfa-pal-ll-share-na</v>
      </c>
      <c r="L14">
        <f>FIND("-p", Table1[[#This Row],[test-allvar]])+LEN("-")</f>
        <v>5</v>
      </c>
      <c r="M14" t="str">
        <f>MID(Table1[[#This Row],[test-allvar]], Table1[[#This Row],[operation-idx]], LEN("pta"))</f>
        <v>pal</v>
      </c>
      <c r="N14" s="1" t="str">
        <f>LEFT(Table1[[#This Row],[test-allvar]], Table1[[#This Row],[operation-idx]]-LEN("-")-1) &amp; MID(Table1[[#This Row],[test-allvar]], Table1[[#This Row],[operation-idx]]+LEN(Table1[[#This Row],[operation]]), 9999)</f>
        <v>cfa-ll-share-na</v>
      </c>
      <c r="O14" s="1" t="str">
        <f>IFERROR( LEFT(Table1[[#This Row],[sut]], FIND("-", Table1[[#This Row],[sut]])-1), Table1[[#This Row],[sut]])</f>
        <v>cfa</v>
      </c>
      <c r="P14" s="1" t="str">
        <f>IF(Table1[[#This Row],[sut-platform]]="cfa", MID(Table1[[#This Row],[sut]], 5, 2), "~na~")</f>
        <v>ll</v>
      </c>
      <c r="Q14" s="1" t="str">
        <f>IF(Table1[[#This Row],[sut-platform]]="cfa", MID(Table1[[#This Row],[sut]], 8, 999), Table1[[#This Row],[sut-cfa-level]])</f>
        <v>share-na</v>
      </c>
      <c r="R14" s="1" t="str">
        <f>IF(Table1[[#This Row],[sut-platform]]="cfa", LEFT(Table1[[#This Row],[suffix-cfa-sharing-alloc]], FIND("-",Table1[[#This Row],[suffix-cfa-sharing-alloc]])-1), "~na~")</f>
        <v>share</v>
      </c>
      <c r="S14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T14" s="1" t="str">
        <f>MID(Table1[[#This Row],[corpus]], LEN("corpus-")+1, 999)</f>
        <v>1-100-1.txt</v>
      </c>
      <c r="U14" s="1" t="str">
        <f>LEFT(Table1[[#This Row],[corpus-varsuffix]], FIND(".txt", Table1[[#This Row],[corpus-varsuffix]])-1)</f>
        <v>1-100-1</v>
      </c>
      <c r="V14" s="1">
        <f>INT(LEFT(Table1[[#This Row],[corpus-allvar]], FIND("-", Table1[[#This Row],[corpus-varsuffix]])-1))</f>
        <v>1</v>
      </c>
      <c r="W14" s="1" t="str">
        <f>MID(Table1[[#This Row],[corpus-allvar]], LEN(Table1[[#This Row],[corpus-nstrs]])+2, 999)</f>
        <v>100-1</v>
      </c>
      <c r="X14" s="1">
        <f>INT(LEFT(Table1[[#This Row],[corpus-varsuffix2]], FIND("-", Table1[[#This Row],[corpus-varsuffix2]])-1))</f>
        <v>100</v>
      </c>
      <c r="Y14" s="1">
        <f>INT(MID(Table1[[#This Row],[corpus-varsuffix2]], LEN(Table1[[#This Row],[corpus-meanlen]])+2, 999))</f>
        <v>1</v>
      </c>
      <c r="Z14" s="4">
        <f>Table1[[#This Row],[concatDoneActualCount]]/Table1[[#This Row],[execTimeActualSec]]</f>
        <v>20217969.67304549</v>
      </c>
      <c r="AA14" s="4">
        <f>CONVERT(Table1[[#This Row],[execTimeActualSec]]/Table1[[#This Row],[concatDoneActualCount]], "s", "ns")</f>
        <v>49.460950638045304</v>
      </c>
      <c r="AB14" s="1" t="str">
        <f>Table1[[#This Row],[corpus-meanlen]]&amp;"-"&amp;Table1[[#This Row],[heapGrowThreshold]]</f>
        <v>100-0.02</v>
      </c>
      <c r="AC14" s="1">
        <f>INDEX(importmem[seclast_req_mem], MATCH(Table1[[#This Row],[memrowid]], importmem[rowid], 0))</f>
        <v>8203966</v>
      </c>
      <c r="AD14" s="1" t="str">
        <f>IF(Table1[[#This Row],[corpusMeanLenChars]]=20, Table1[[#This Row],[mem-amt]], "")</f>
        <v/>
      </c>
      <c r="AE14" s="1" t="str">
        <f>IF(Table1[[#This Row],[corpusMeanLenChars]]=50, Table1[[#This Row],[mem-amt]], "")</f>
        <v/>
      </c>
      <c r="AF14" s="1">
        <f>IF(Table1[[#This Row],[corpusMeanLenChars]]=100, Table1[[#This Row],[mem-amt]], "")</f>
        <v>8203966</v>
      </c>
      <c r="AG14" s="1" t="str">
        <f>IF(Table1[[#This Row],[corpusMeanLenChars]]=200, Table1[[#This Row],[mem-amt]], "")</f>
        <v/>
      </c>
      <c r="AH14" s="1" t="str">
        <f>IF(Table1[[#This Row],[corpusMeanLenChars]]=500, Table1[[#This Row],[mem-amt]], "")</f>
        <v/>
      </c>
    </row>
    <row r="15" spans="1:34" x14ac:dyDescent="0.25">
      <c r="A15" s="1" t="s">
        <v>70</v>
      </c>
      <c r="B15" s="1" t="str">
        <f>Table1[[#This Row],[test]]&amp;"@"&amp;Table1[[#This Row],[corpus]]</f>
        <v>perfexp-cfa-pal-ll-share-na@corpus-1-100-1.txt</v>
      </c>
      <c r="C15" s="5" t="s">
        <v>66</v>
      </c>
      <c r="D15" s="5" t="s">
        <v>56</v>
      </c>
      <c r="E15" s="5">
        <v>0.05</v>
      </c>
      <c r="F15" s="5" t="s">
        <v>45</v>
      </c>
      <c r="G15" s="5">
        <v>1</v>
      </c>
      <c r="H15" s="5">
        <v>100</v>
      </c>
      <c r="I15" s="29">
        <v>192840000</v>
      </c>
      <c r="J15" s="33">
        <v>10.000189000000001</v>
      </c>
      <c r="K15" t="str">
        <f>MID(Table1[[#This Row],[test]], LEN("perfexp-")+1, 9999)</f>
        <v>cfa-pal-ll-share-na</v>
      </c>
      <c r="L15">
        <f>FIND("-p", Table1[[#This Row],[test-allvar]])+LEN("-")</f>
        <v>5</v>
      </c>
      <c r="M15" t="str">
        <f>MID(Table1[[#This Row],[test-allvar]], Table1[[#This Row],[operation-idx]], LEN("pta"))</f>
        <v>pal</v>
      </c>
      <c r="N15" s="1" t="str">
        <f>LEFT(Table1[[#This Row],[test-allvar]], Table1[[#This Row],[operation-idx]]-LEN("-")-1) &amp; MID(Table1[[#This Row],[test-allvar]], Table1[[#This Row],[operation-idx]]+LEN(Table1[[#This Row],[operation]]), 9999)</f>
        <v>cfa-ll-share-na</v>
      </c>
      <c r="O15" s="1" t="str">
        <f>IFERROR( LEFT(Table1[[#This Row],[sut]], FIND("-", Table1[[#This Row],[sut]])-1), Table1[[#This Row],[sut]])</f>
        <v>cfa</v>
      </c>
      <c r="P15" s="1" t="str">
        <f>IF(Table1[[#This Row],[sut-platform]]="cfa", MID(Table1[[#This Row],[sut]], 5, 2), "~na~")</f>
        <v>ll</v>
      </c>
      <c r="Q15" s="1" t="str">
        <f>IF(Table1[[#This Row],[sut-platform]]="cfa", MID(Table1[[#This Row],[sut]], 8, 999), Table1[[#This Row],[sut-cfa-level]])</f>
        <v>share-na</v>
      </c>
      <c r="R15" s="1" t="str">
        <f>IF(Table1[[#This Row],[sut-platform]]="cfa", LEFT(Table1[[#This Row],[suffix-cfa-sharing-alloc]], FIND("-",Table1[[#This Row],[suffix-cfa-sharing-alloc]])-1), "~na~")</f>
        <v>share</v>
      </c>
      <c r="S15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T15" s="1" t="str">
        <f>MID(Table1[[#This Row],[corpus]], LEN("corpus-")+1, 999)</f>
        <v>1-100-1.txt</v>
      </c>
      <c r="U15" s="1" t="str">
        <f>LEFT(Table1[[#This Row],[corpus-varsuffix]], FIND(".txt", Table1[[#This Row],[corpus-varsuffix]])-1)</f>
        <v>1-100-1</v>
      </c>
      <c r="V15" s="1">
        <f>INT(LEFT(Table1[[#This Row],[corpus-allvar]], FIND("-", Table1[[#This Row],[corpus-varsuffix]])-1))</f>
        <v>1</v>
      </c>
      <c r="W15" s="1" t="str">
        <f>MID(Table1[[#This Row],[corpus-allvar]], LEN(Table1[[#This Row],[corpus-nstrs]])+2, 999)</f>
        <v>100-1</v>
      </c>
      <c r="X15" s="1">
        <f>INT(LEFT(Table1[[#This Row],[corpus-varsuffix2]], FIND("-", Table1[[#This Row],[corpus-varsuffix2]])-1))</f>
        <v>100</v>
      </c>
      <c r="Y15" s="1">
        <f>INT(MID(Table1[[#This Row],[corpus-varsuffix2]], LEN(Table1[[#This Row],[corpus-meanlen]])+2, 999))</f>
        <v>1</v>
      </c>
      <c r="Z15" s="4">
        <f>Table1[[#This Row],[concatDoneActualCount]]/Table1[[#This Row],[execTimeActualSec]]</f>
        <v>19283635.539288305</v>
      </c>
      <c r="AA15" s="4">
        <f>CONVERT(Table1[[#This Row],[execTimeActualSec]]/Table1[[#This Row],[concatDoneActualCount]], "s", "ns")</f>
        <v>51.857441402198717</v>
      </c>
      <c r="AB15" s="1" t="str">
        <f>Table1[[#This Row],[corpus-meanlen]]&amp;"-"&amp;Table1[[#This Row],[heapGrowThreshold]]</f>
        <v>100-0.05</v>
      </c>
      <c r="AC15" s="1">
        <f>INDEX(importmem[seclast_req_mem], MATCH(Table1[[#This Row],[memrowid]], importmem[rowid], 0))</f>
        <v>2059966</v>
      </c>
      <c r="AD15" s="1" t="str">
        <f>IF(Table1[[#This Row],[corpusMeanLenChars]]=20, Table1[[#This Row],[mem-amt]], "")</f>
        <v/>
      </c>
      <c r="AE15" s="1" t="str">
        <f>IF(Table1[[#This Row],[corpusMeanLenChars]]=50, Table1[[#This Row],[mem-amt]], "")</f>
        <v/>
      </c>
      <c r="AF15" s="1">
        <f>IF(Table1[[#This Row],[corpusMeanLenChars]]=100, Table1[[#This Row],[mem-amt]], "")</f>
        <v>2059966</v>
      </c>
      <c r="AG15" s="1" t="str">
        <f>IF(Table1[[#This Row],[corpusMeanLenChars]]=200, Table1[[#This Row],[mem-amt]], "")</f>
        <v/>
      </c>
      <c r="AH15" s="1" t="str">
        <f>IF(Table1[[#This Row],[corpusMeanLenChars]]=500, Table1[[#This Row],[mem-amt]], "")</f>
        <v/>
      </c>
    </row>
    <row r="16" spans="1:34" x14ac:dyDescent="0.25">
      <c r="A16" s="1" t="s">
        <v>70</v>
      </c>
      <c r="B16" s="1" t="str">
        <f>Table1[[#This Row],[test]]&amp;"@"&amp;Table1[[#This Row],[corpus]]</f>
        <v>perfexp-cfa-pal-ll-share-na@corpus-1-100-1.txt</v>
      </c>
      <c r="C16" s="5" t="s">
        <v>66</v>
      </c>
      <c r="D16" s="27" t="s">
        <v>56</v>
      </c>
      <c r="E16" s="27">
        <v>0.1</v>
      </c>
      <c r="F16" s="5" t="s">
        <v>45</v>
      </c>
      <c r="G16" s="5">
        <v>1</v>
      </c>
      <c r="H16" s="5">
        <v>100</v>
      </c>
      <c r="I16" s="30">
        <v>196240000</v>
      </c>
      <c r="J16" s="33">
        <v>10.000149</v>
      </c>
      <c r="K16" t="str">
        <f>MID(Table1[[#This Row],[test]], LEN("perfexp-")+1, 9999)</f>
        <v>cfa-pal-ll-share-na</v>
      </c>
      <c r="L16">
        <f>FIND("-p", Table1[[#This Row],[test-allvar]])+LEN("-")</f>
        <v>5</v>
      </c>
      <c r="M16" t="str">
        <f>MID(Table1[[#This Row],[test-allvar]], Table1[[#This Row],[operation-idx]], LEN("pta"))</f>
        <v>pal</v>
      </c>
      <c r="N16" s="1" t="str">
        <f>LEFT(Table1[[#This Row],[test-allvar]], Table1[[#This Row],[operation-idx]]-LEN("-")-1) &amp; MID(Table1[[#This Row],[test-allvar]], Table1[[#This Row],[operation-idx]]+LEN(Table1[[#This Row],[operation]]), 9999)</f>
        <v>cfa-ll-share-na</v>
      </c>
      <c r="O16" s="1" t="str">
        <f>IFERROR( LEFT(Table1[[#This Row],[sut]], FIND("-", Table1[[#This Row],[sut]])-1), Table1[[#This Row],[sut]])</f>
        <v>cfa</v>
      </c>
      <c r="P16" s="1" t="str">
        <f>IF(Table1[[#This Row],[sut-platform]]="cfa", MID(Table1[[#This Row],[sut]], 5, 2), "~na~")</f>
        <v>ll</v>
      </c>
      <c r="Q16" s="1" t="str">
        <f>IF(Table1[[#This Row],[sut-platform]]="cfa", MID(Table1[[#This Row],[sut]], 8, 999), Table1[[#This Row],[sut-cfa-level]])</f>
        <v>share-na</v>
      </c>
      <c r="R16" s="1" t="str">
        <f>IF(Table1[[#This Row],[sut-platform]]="cfa", LEFT(Table1[[#This Row],[suffix-cfa-sharing-alloc]], FIND("-",Table1[[#This Row],[suffix-cfa-sharing-alloc]])-1), "~na~")</f>
        <v>share</v>
      </c>
      <c r="S16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T16" s="1" t="str">
        <f>MID(Table1[[#This Row],[corpus]], LEN("corpus-")+1, 999)</f>
        <v>1-100-1.txt</v>
      </c>
      <c r="U16" s="1" t="str">
        <f>LEFT(Table1[[#This Row],[corpus-varsuffix]], FIND(".txt", Table1[[#This Row],[corpus-varsuffix]])-1)</f>
        <v>1-100-1</v>
      </c>
      <c r="V16" s="1">
        <f>INT(LEFT(Table1[[#This Row],[corpus-allvar]], FIND("-", Table1[[#This Row],[corpus-varsuffix]])-1))</f>
        <v>1</v>
      </c>
      <c r="W16" s="1" t="str">
        <f>MID(Table1[[#This Row],[corpus-allvar]], LEN(Table1[[#This Row],[corpus-nstrs]])+2, 999)</f>
        <v>100-1</v>
      </c>
      <c r="X16" s="1">
        <f>INT(LEFT(Table1[[#This Row],[corpus-varsuffix2]], FIND("-", Table1[[#This Row],[corpus-varsuffix2]])-1))</f>
        <v>100</v>
      </c>
      <c r="Y16" s="1">
        <f>INT(MID(Table1[[#This Row],[corpus-varsuffix2]], LEN(Table1[[#This Row],[corpus-meanlen]])+2, 999))</f>
        <v>1</v>
      </c>
      <c r="Z16" s="4">
        <f>Table1[[#This Row],[concatDoneActualCount]]/Table1[[#This Row],[execTimeActualSec]]</f>
        <v>19623707.606756657</v>
      </c>
      <c r="AA16" s="4">
        <f>CONVERT(Table1[[#This Row],[execTimeActualSec]]/Table1[[#This Row],[concatDoneActualCount]], "s", "ns")</f>
        <v>50.958769873624135</v>
      </c>
      <c r="AB16" s="1" t="str">
        <f>Table1[[#This Row],[corpus-meanlen]]&amp;"-"&amp;Table1[[#This Row],[heapGrowThreshold]]</f>
        <v>100-0.1</v>
      </c>
      <c r="AC16" s="1">
        <f>INDEX(importmem[seclast_req_mem], MATCH(Table1[[#This Row],[memrowid]], importmem[rowid], 0))</f>
        <v>1035966</v>
      </c>
      <c r="AD16" s="1" t="str">
        <f>IF(Table1[[#This Row],[corpusMeanLenChars]]=20, Table1[[#This Row],[mem-amt]], "")</f>
        <v/>
      </c>
      <c r="AE16" s="1" t="str">
        <f>IF(Table1[[#This Row],[corpusMeanLenChars]]=50, Table1[[#This Row],[mem-amt]], "")</f>
        <v/>
      </c>
      <c r="AF16" s="1">
        <f>IF(Table1[[#This Row],[corpusMeanLenChars]]=100, Table1[[#This Row],[mem-amt]], "")</f>
        <v>1035966</v>
      </c>
      <c r="AG16" s="1" t="str">
        <f>IF(Table1[[#This Row],[corpusMeanLenChars]]=200, Table1[[#This Row],[mem-amt]], "")</f>
        <v/>
      </c>
      <c r="AH16" s="1" t="str">
        <f>IF(Table1[[#This Row],[corpusMeanLenChars]]=500, Table1[[#This Row],[mem-amt]], "")</f>
        <v/>
      </c>
    </row>
    <row r="17" spans="1:34" x14ac:dyDescent="0.25">
      <c r="A17" s="1" t="s">
        <v>70</v>
      </c>
      <c r="B17" s="1" t="str">
        <f>Table1[[#This Row],[test]]&amp;"@"&amp;Table1[[#This Row],[corpus]]</f>
        <v>perfexp-cfa-pal-ll-share-na@corpus-1-100-1.txt</v>
      </c>
      <c r="C17" s="5" t="s">
        <v>66</v>
      </c>
      <c r="D17" s="5" t="s">
        <v>56</v>
      </c>
      <c r="E17" s="5">
        <v>0.2</v>
      </c>
      <c r="F17" s="5" t="s">
        <v>45</v>
      </c>
      <c r="G17" s="5">
        <v>1</v>
      </c>
      <c r="H17" s="5">
        <v>100</v>
      </c>
      <c r="I17" s="29">
        <v>180160000</v>
      </c>
      <c r="J17" s="33">
        <v>10.000173999999999</v>
      </c>
      <c r="K17" t="str">
        <f>MID(Table1[[#This Row],[test]], LEN("perfexp-")+1, 9999)</f>
        <v>cfa-pal-ll-share-na</v>
      </c>
      <c r="L17">
        <f>FIND("-p", Table1[[#This Row],[test-allvar]])+LEN("-")</f>
        <v>5</v>
      </c>
      <c r="M17" t="str">
        <f>MID(Table1[[#This Row],[test-allvar]], Table1[[#This Row],[operation-idx]], LEN("pta"))</f>
        <v>pal</v>
      </c>
      <c r="N17" s="1" t="str">
        <f>LEFT(Table1[[#This Row],[test-allvar]], Table1[[#This Row],[operation-idx]]-LEN("-")-1) &amp; MID(Table1[[#This Row],[test-allvar]], Table1[[#This Row],[operation-idx]]+LEN(Table1[[#This Row],[operation]]), 9999)</f>
        <v>cfa-ll-share-na</v>
      </c>
      <c r="O17" s="1" t="str">
        <f>IFERROR( LEFT(Table1[[#This Row],[sut]], FIND("-", Table1[[#This Row],[sut]])-1), Table1[[#This Row],[sut]])</f>
        <v>cfa</v>
      </c>
      <c r="P17" s="1" t="str">
        <f>IF(Table1[[#This Row],[sut-platform]]="cfa", MID(Table1[[#This Row],[sut]], 5, 2), "~na~")</f>
        <v>ll</v>
      </c>
      <c r="Q17" s="1" t="str">
        <f>IF(Table1[[#This Row],[sut-platform]]="cfa", MID(Table1[[#This Row],[sut]], 8, 999), Table1[[#This Row],[sut-cfa-level]])</f>
        <v>share-na</v>
      </c>
      <c r="R17" s="1" t="str">
        <f>IF(Table1[[#This Row],[sut-platform]]="cfa", LEFT(Table1[[#This Row],[suffix-cfa-sharing-alloc]], FIND("-",Table1[[#This Row],[suffix-cfa-sharing-alloc]])-1), "~na~")</f>
        <v>share</v>
      </c>
      <c r="S17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T17" s="1" t="str">
        <f>MID(Table1[[#This Row],[corpus]], LEN("corpus-")+1, 999)</f>
        <v>1-100-1.txt</v>
      </c>
      <c r="U17" s="1" t="str">
        <f>LEFT(Table1[[#This Row],[corpus-varsuffix]], FIND(".txt", Table1[[#This Row],[corpus-varsuffix]])-1)</f>
        <v>1-100-1</v>
      </c>
      <c r="V17" s="1">
        <f>INT(LEFT(Table1[[#This Row],[corpus-allvar]], FIND("-", Table1[[#This Row],[corpus-varsuffix]])-1))</f>
        <v>1</v>
      </c>
      <c r="W17" s="1" t="str">
        <f>MID(Table1[[#This Row],[corpus-allvar]], LEN(Table1[[#This Row],[corpus-nstrs]])+2, 999)</f>
        <v>100-1</v>
      </c>
      <c r="X17" s="1">
        <f>INT(LEFT(Table1[[#This Row],[corpus-varsuffix2]], FIND("-", Table1[[#This Row],[corpus-varsuffix2]])-1))</f>
        <v>100</v>
      </c>
      <c r="Y17" s="1">
        <f>INT(MID(Table1[[#This Row],[corpus-varsuffix2]], LEN(Table1[[#This Row],[corpus-meanlen]])+2, 999))</f>
        <v>1</v>
      </c>
      <c r="Z17" s="4">
        <f>Table1[[#This Row],[concatDoneActualCount]]/Table1[[#This Row],[execTimeActualSec]]</f>
        <v>18015686.527054429</v>
      </c>
      <c r="AA17" s="4">
        <f>CONVERT(Table1[[#This Row],[execTimeActualSec]]/Table1[[#This Row],[concatDoneActualCount]], "s", "ns")</f>
        <v>55.507182504440493</v>
      </c>
      <c r="AB17" s="1" t="str">
        <f>Table1[[#This Row],[corpus-meanlen]]&amp;"-"&amp;Table1[[#This Row],[heapGrowThreshold]]</f>
        <v>100-0.2</v>
      </c>
      <c r="AC17" s="1">
        <f>INDEX(importmem[seclast_req_mem], MATCH(Table1[[#This Row],[memrowid]], importmem[rowid], 0))</f>
        <v>523966</v>
      </c>
      <c r="AD17" s="1" t="str">
        <f>IF(Table1[[#This Row],[corpusMeanLenChars]]=20, Table1[[#This Row],[mem-amt]], "")</f>
        <v/>
      </c>
      <c r="AE17" s="1" t="str">
        <f>IF(Table1[[#This Row],[corpusMeanLenChars]]=50, Table1[[#This Row],[mem-amt]], "")</f>
        <v/>
      </c>
      <c r="AF17" s="1">
        <f>IF(Table1[[#This Row],[corpusMeanLenChars]]=100, Table1[[#This Row],[mem-amt]], "")</f>
        <v>523966</v>
      </c>
      <c r="AG17" s="1" t="str">
        <f>IF(Table1[[#This Row],[corpusMeanLenChars]]=200, Table1[[#This Row],[mem-amt]], "")</f>
        <v/>
      </c>
      <c r="AH17" s="1" t="str">
        <f>IF(Table1[[#This Row],[corpusMeanLenChars]]=500, Table1[[#This Row],[mem-amt]], "")</f>
        <v/>
      </c>
    </row>
    <row r="18" spans="1:34" x14ac:dyDescent="0.25">
      <c r="A18" s="1" t="s">
        <v>70</v>
      </c>
      <c r="B18" s="1" t="str">
        <f>Table1[[#This Row],[test]]&amp;"@"&amp;Table1[[#This Row],[corpus]]</f>
        <v>perfexp-cfa-pal-ll-share-na@corpus-1-100-1.txt</v>
      </c>
      <c r="C18" s="5" t="s">
        <v>66</v>
      </c>
      <c r="D18" s="5" t="s">
        <v>56</v>
      </c>
      <c r="E18" s="5">
        <v>0.5</v>
      </c>
      <c r="F18" s="5" t="s">
        <v>45</v>
      </c>
      <c r="G18" s="5">
        <v>1</v>
      </c>
      <c r="H18" s="5">
        <v>100</v>
      </c>
      <c r="I18" s="29">
        <v>179330000</v>
      </c>
      <c r="J18" s="33">
        <v>10.000429</v>
      </c>
      <c r="K18" t="str">
        <f>MID(Table1[[#This Row],[test]], LEN("perfexp-")+1, 9999)</f>
        <v>cfa-pal-ll-share-na</v>
      </c>
      <c r="L18">
        <f>FIND("-p", Table1[[#This Row],[test-allvar]])+LEN("-")</f>
        <v>5</v>
      </c>
      <c r="M18" t="str">
        <f>MID(Table1[[#This Row],[test-allvar]], Table1[[#This Row],[operation-idx]], LEN("pta"))</f>
        <v>pal</v>
      </c>
      <c r="N18" s="1" t="str">
        <f>LEFT(Table1[[#This Row],[test-allvar]], Table1[[#This Row],[operation-idx]]-LEN("-")-1) &amp; MID(Table1[[#This Row],[test-allvar]], Table1[[#This Row],[operation-idx]]+LEN(Table1[[#This Row],[operation]]), 9999)</f>
        <v>cfa-ll-share-na</v>
      </c>
      <c r="O18" s="1" t="str">
        <f>IFERROR( LEFT(Table1[[#This Row],[sut]], FIND("-", Table1[[#This Row],[sut]])-1), Table1[[#This Row],[sut]])</f>
        <v>cfa</v>
      </c>
      <c r="P18" s="1" t="str">
        <f>IF(Table1[[#This Row],[sut-platform]]="cfa", MID(Table1[[#This Row],[sut]], 5, 2), "~na~")</f>
        <v>ll</v>
      </c>
      <c r="Q18" s="1" t="str">
        <f>IF(Table1[[#This Row],[sut-platform]]="cfa", MID(Table1[[#This Row],[sut]], 8, 999), Table1[[#This Row],[sut-cfa-level]])</f>
        <v>share-na</v>
      </c>
      <c r="R18" s="1" t="str">
        <f>IF(Table1[[#This Row],[sut-platform]]="cfa", LEFT(Table1[[#This Row],[suffix-cfa-sharing-alloc]], FIND("-",Table1[[#This Row],[suffix-cfa-sharing-alloc]])-1), "~na~")</f>
        <v>share</v>
      </c>
      <c r="S18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T18" s="1" t="str">
        <f>MID(Table1[[#This Row],[corpus]], LEN("corpus-")+1, 999)</f>
        <v>1-100-1.txt</v>
      </c>
      <c r="U18" s="1" t="str">
        <f>LEFT(Table1[[#This Row],[corpus-varsuffix]], FIND(".txt", Table1[[#This Row],[corpus-varsuffix]])-1)</f>
        <v>1-100-1</v>
      </c>
      <c r="V18" s="1">
        <f>INT(LEFT(Table1[[#This Row],[corpus-allvar]], FIND("-", Table1[[#This Row],[corpus-varsuffix]])-1))</f>
        <v>1</v>
      </c>
      <c r="W18" s="1" t="str">
        <f>MID(Table1[[#This Row],[corpus-allvar]], LEN(Table1[[#This Row],[corpus-nstrs]])+2, 999)</f>
        <v>100-1</v>
      </c>
      <c r="X18" s="1">
        <f>INT(LEFT(Table1[[#This Row],[corpus-varsuffix2]], FIND("-", Table1[[#This Row],[corpus-varsuffix2]])-1))</f>
        <v>100</v>
      </c>
      <c r="Y18" s="1">
        <f>INT(MID(Table1[[#This Row],[corpus-varsuffix2]], LEN(Table1[[#This Row],[corpus-meanlen]])+2, 999))</f>
        <v>1</v>
      </c>
      <c r="Z18" s="4">
        <f>Table1[[#This Row],[concatDoneActualCount]]/Table1[[#This Row],[execTimeActualSec]]</f>
        <v>17932230.707302656</v>
      </c>
      <c r="AA18" s="4">
        <f>CONVERT(Table1[[#This Row],[execTimeActualSec]]/Table1[[#This Row],[concatDoneActualCount]], "s", "ns")</f>
        <v>55.765510511347799</v>
      </c>
      <c r="AB18" s="1" t="str">
        <f>Table1[[#This Row],[corpus-meanlen]]&amp;"-"&amp;Table1[[#This Row],[heapGrowThreshold]]</f>
        <v>100-0.5</v>
      </c>
      <c r="AC18" s="1">
        <f>INDEX(importmem[seclast_req_mem], MATCH(Table1[[#This Row],[memrowid]], importmem[rowid], 0))</f>
        <v>267966</v>
      </c>
      <c r="AD18" s="1" t="str">
        <f>IF(Table1[[#This Row],[corpusMeanLenChars]]=20, Table1[[#This Row],[mem-amt]], "")</f>
        <v/>
      </c>
      <c r="AE18" s="1" t="str">
        <f>IF(Table1[[#This Row],[corpusMeanLenChars]]=50, Table1[[#This Row],[mem-amt]], "")</f>
        <v/>
      </c>
      <c r="AF18" s="1">
        <f>IF(Table1[[#This Row],[corpusMeanLenChars]]=100, Table1[[#This Row],[mem-amt]], "")</f>
        <v>267966</v>
      </c>
      <c r="AG18" s="1" t="str">
        <f>IF(Table1[[#This Row],[corpusMeanLenChars]]=200, Table1[[#This Row],[mem-amt]], "")</f>
        <v/>
      </c>
      <c r="AH18" s="1" t="str">
        <f>IF(Table1[[#This Row],[corpusMeanLenChars]]=500, Table1[[#This Row],[mem-amt]], "")</f>
        <v/>
      </c>
    </row>
    <row r="19" spans="1:34" x14ac:dyDescent="0.25">
      <c r="A19" s="1" t="s">
        <v>70</v>
      </c>
      <c r="B19" s="1" t="str">
        <f>Table1[[#This Row],[test]]&amp;"@"&amp;Table1[[#This Row],[corpus]]</f>
        <v>perfexp-cfa-pal-ll-share-na@corpus-1-100-1.txt</v>
      </c>
      <c r="C19" s="5" t="s">
        <v>66</v>
      </c>
      <c r="D19" s="26" t="s">
        <v>56</v>
      </c>
      <c r="E19" s="26">
        <v>0.9</v>
      </c>
      <c r="F19" s="5" t="s">
        <v>45</v>
      </c>
      <c r="G19" s="5">
        <v>1</v>
      </c>
      <c r="H19" s="5">
        <v>100</v>
      </c>
      <c r="I19" s="31">
        <v>140850000</v>
      </c>
      <c r="J19" s="33">
        <v>10.000560999999999</v>
      </c>
      <c r="K19" t="str">
        <f>MID(Table1[[#This Row],[test]], LEN("perfexp-")+1, 9999)</f>
        <v>cfa-pal-ll-share-na</v>
      </c>
      <c r="L19">
        <f>FIND("-p", Table1[[#This Row],[test-allvar]])+LEN("-")</f>
        <v>5</v>
      </c>
      <c r="M19" t="str">
        <f>MID(Table1[[#This Row],[test-allvar]], Table1[[#This Row],[operation-idx]], LEN("pta"))</f>
        <v>pal</v>
      </c>
      <c r="N19" s="1" t="str">
        <f>LEFT(Table1[[#This Row],[test-allvar]], Table1[[#This Row],[operation-idx]]-LEN("-")-1) &amp; MID(Table1[[#This Row],[test-allvar]], Table1[[#This Row],[operation-idx]]+LEN(Table1[[#This Row],[operation]]), 9999)</f>
        <v>cfa-ll-share-na</v>
      </c>
      <c r="O19" s="1" t="str">
        <f>IFERROR( LEFT(Table1[[#This Row],[sut]], FIND("-", Table1[[#This Row],[sut]])-1), Table1[[#This Row],[sut]])</f>
        <v>cfa</v>
      </c>
      <c r="P19" s="1" t="str">
        <f>IF(Table1[[#This Row],[sut-platform]]="cfa", MID(Table1[[#This Row],[sut]], 5, 2), "~na~")</f>
        <v>ll</v>
      </c>
      <c r="Q19" s="1" t="str">
        <f>IF(Table1[[#This Row],[sut-platform]]="cfa", MID(Table1[[#This Row],[sut]], 8, 999), Table1[[#This Row],[sut-cfa-level]])</f>
        <v>share-na</v>
      </c>
      <c r="R19" s="1" t="str">
        <f>IF(Table1[[#This Row],[sut-platform]]="cfa", LEFT(Table1[[#This Row],[suffix-cfa-sharing-alloc]], FIND("-",Table1[[#This Row],[suffix-cfa-sharing-alloc]])-1), "~na~")</f>
        <v>share</v>
      </c>
      <c r="S19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T19" s="1" t="str">
        <f>MID(Table1[[#This Row],[corpus]], LEN("corpus-")+1, 999)</f>
        <v>1-100-1.txt</v>
      </c>
      <c r="U19" s="1" t="str">
        <f>LEFT(Table1[[#This Row],[corpus-varsuffix]], FIND(".txt", Table1[[#This Row],[corpus-varsuffix]])-1)</f>
        <v>1-100-1</v>
      </c>
      <c r="V19" s="1">
        <f>INT(LEFT(Table1[[#This Row],[corpus-allvar]], FIND("-", Table1[[#This Row],[corpus-varsuffix]])-1))</f>
        <v>1</v>
      </c>
      <c r="W19" s="1" t="str">
        <f>MID(Table1[[#This Row],[corpus-allvar]], LEN(Table1[[#This Row],[corpus-nstrs]])+2, 999)</f>
        <v>100-1</v>
      </c>
      <c r="X19" s="1">
        <f>INT(LEFT(Table1[[#This Row],[corpus-varsuffix2]], FIND("-", Table1[[#This Row],[corpus-varsuffix2]])-1))</f>
        <v>100</v>
      </c>
      <c r="Y19" s="1">
        <f>INT(MID(Table1[[#This Row],[corpus-varsuffix2]], LEN(Table1[[#This Row],[corpus-meanlen]])+2, 999))</f>
        <v>1</v>
      </c>
      <c r="Z19" s="4">
        <f>Table1[[#This Row],[concatDoneActualCount]]/Table1[[#This Row],[execTimeActualSec]]</f>
        <v>14084209.875825968</v>
      </c>
      <c r="AA19" s="4">
        <f>CONVERT(Table1[[#This Row],[execTimeActualSec]]/Table1[[#This Row],[concatDoneActualCount]], "s", "ns")</f>
        <v>71.001498047568333</v>
      </c>
      <c r="AB19" s="1" t="str">
        <f>Table1[[#This Row],[corpus-meanlen]]&amp;"-"&amp;Table1[[#This Row],[heapGrowThreshold]]</f>
        <v>100-0.9</v>
      </c>
      <c r="AC19" s="1">
        <f>INDEX(importmem[seclast_req_mem], MATCH(Table1[[#This Row],[memrowid]], importmem[rowid], 0))</f>
        <v>139966</v>
      </c>
      <c r="AD19" s="1" t="str">
        <f>IF(Table1[[#This Row],[corpusMeanLenChars]]=20, Table1[[#This Row],[mem-amt]], "")</f>
        <v/>
      </c>
      <c r="AE19" s="1" t="str">
        <f>IF(Table1[[#This Row],[corpusMeanLenChars]]=50, Table1[[#This Row],[mem-amt]], "")</f>
        <v/>
      </c>
      <c r="AF19" s="1">
        <f>IF(Table1[[#This Row],[corpusMeanLenChars]]=100, Table1[[#This Row],[mem-amt]], "")</f>
        <v>139966</v>
      </c>
      <c r="AG19" s="1" t="str">
        <f>IF(Table1[[#This Row],[corpusMeanLenChars]]=200, Table1[[#This Row],[mem-amt]], "")</f>
        <v/>
      </c>
      <c r="AH19" s="1" t="str">
        <f>IF(Table1[[#This Row],[corpusMeanLenChars]]=500, Table1[[#This Row],[mem-amt]], "")</f>
        <v/>
      </c>
    </row>
    <row r="20" spans="1:34" x14ac:dyDescent="0.25">
      <c r="A20" s="1" t="s">
        <v>71</v>
      </c>
      <c r="B20" s="1" t="str">
        <f>Table1[[#This Row],[test]]&amp;"@"&amp;Table1[[#This Row],[corpus]]</f>
        <v>perfexp-cfa-pal-ll-share-na@corpus-1-200-1.txt</v>
      </c>
      <c r="C20" s="5" t="s">
        <v>66</v>
      </c>
      <c r="D20" s="5" t="s">
        <v>59</v>
      </c>
      <c r="E20" s="5">
        <v>0.02</v>
      </c>
      <c r="F20" s="5" t="s">
        <v>45</v>
      </c>
      <c r="G20" s="5">
        <v>1</v>
      </c>
      <c r="H20" s="5">
        <v>200</v>
      </c>
      <c r="I20" s="29">
        <v>155900000</v>
      </c>
      <c r="J20" s="33">
        <v>10.000534999999999</v>
      </c>
      <c r="K20" s="35" t="str">
        <f>MID(Table1[[#This Row],[test]], LEN("perfexp-")+1, 9999)</f>
        <v>cfa-pal-ll-share-na</v>
      </c>
      <c r="L20" s="1">
        <f>FIND("-p", Table1[[#This Row],[test-allvar]])+LEN("-")</f>
        <v>5</v>
      </c>
      <c r="M20" s="1" t="str">
        <f>MID(Table1[[#This Row],[test-allvar]], Table1[[#This Row],[operation-idx]], LEN("pta"))</f>
        <v>pal</v>
      </c>
      <c r="N20" s="1" t="str">
        <f>LEFT(Table1[[#This Row],[test-allvar]], Table1[[#This Row],[operation-idx]]-LEN("-")-1) &amp; MID(Table1[[#This Row],[test-allvar]], Table1[[#This Row],[operation-idx]]+LEN(Table1[[#This Row],[operation]]), 9999)</f>
        <v>cfa-ll-share-na</v>
      </c>
      <c r="O20" s="1" t="str">
        <f>IFERROR( LEFT(Table1[[#This Row],[sut]], FIND("-", Table1[[#This Row],[sut]])-1), Table1[[#This Row],[sut]])</f>
        <v>cfa</v>
      </c>
      <c r="P20" s="1" t="str">
        <f>IF(Table1[[#This Row],[sut-platform]]="cfa", MID(Table1[[#This Row],[sut]], 5, 2), "~na~")</f>
        <v>ll</v>
      </c>
      <c r="Q20" s="1" t="str">
        <f>IF(Table1[[#This Row],[sut-platform]]="cfa", MID(Table1[[#This Row],[sut]], 8, 999), Table1[[#This Row],[sut-cfa-level]])</f>
        <v>share-na</v>
      </c>
      <c r="R20" s="1" t="str">
        <f>IF(Table1[[#This Row],[sut-platform]]="cfa", LEFT(Table1[[#This Row],[suffix-cfa-sharing-alloc]], FIND("-",Table1[[#This Row],[suffix-cfa-sharing-alloc]])-1), "~na~")</f>
        <v>share</v>
      </c>
      <c r="S20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T20" s="1" t="str">
        <f>MID(Table1[[#This Row],[corpus]], LEN("corpus-")+1, 999)</f>
        <v>1-200-1.txt</v>
      </c>
      <c r="U20" s="1" t="str">
        <f>LEFT(Table1[[#This Row],[corpus-varsuffix]], FIND(".txt", Table1[[#This Row],[corpus-varsuffix]])-1)</f>
        <v>1-200-1</v>
      </c>
      <c r="V20" s="1">
        <f>INT(LEFT(Table1[[#This Row],[corpus-allvar]], FIND("-", Table1[[#This Row],[corpus-varsuffix]])-1))</f>
        <v>1</v>
      </c>
      <c r="W20" s="1" t="str">
        <f>MID(Table1[[#This Row],[corpus-allvar]], LEN(Table1[[#This Row],[corpus-nstrs]])+2, 999)</f>
        <v>200-1</v>
      </c>
      <c r="X20" s="1">
        <f>INT(LEFT(Table1[[#This Row],[corpus-varsuffix2]], FIND("-", Table1[[#This Row],[corpus-varsuffix2]])-1))</f>
        <v>200</v>
      </c>
      <c r="Y20" s="1">
        <f>INT(MID(Table1[[#This Row],[corpus-varsuffix2]], LEN(Table1[[#This Row],[corpus-meanlen]])+2, 999))</f>
        <v>1</v>
      </c>
      <c r="Z20" s="4">
        <f>Table1[[#This Row],[concatDoneActualCount]]/Table1[[#This Row],[execTimeActualSec]]</f>
        <v>15589165.979620092</v>
      </c>
      <c r="AA20" s="4">
        <f>CONVERT(Table1[[#This Row],[execTimeActualSec]]/Table1[[#This Row],[concatDoneActualCount]], "s", "ns")</f>
        <v>64.147113534316858</v>
      </c>
      <c r="AB20" s="1" t="str">
        <f>Table1[[#This Row],[corpus-meanlen]]&amp;"-"&amp;Table1[[#This Row],[heapGrowThreshold]]</f>
        <v>200-0.02</v>
      </c>
      <c r="AC20" s="1">
        <f>INDEX(importmem[seclast_req_mem], MATCH(Table1[[#This Row],[memrowid]], importmem[rowid], 0))</f>
        <v>16395966</v>
      </c>
      <c r="AD20" s="1" t="str">
        <f>IF(Table1[[#This Row],[corpusMeanLenChars]]=20, Table1[[#This Row],[mem-amt]], "")</f>
        <v/>
      </c>
      <c r="AE20" s="1" t="str">
        <f>IF(Table1[[#This Row],[corpusMeanLenChars]]=50, Table1[[#This Row],[mem-amt]], "")</f>
        <v/>
      </c>
      <c r="AF20" s="1" t="str">
        <f>IF(Table1[[#This Row],[corpusMeanLenChars]]=100, Table1[[#This Row],[mem-amt]], "")</f>
        <v/>
      </c>
      <c r="AG20" s="1">
        <f>IF(Table1[[#This Row],[corpusMeanLenChars]]=200, Table1[[#This Row],[mem-amt]], "")</f>
        <v>16395966</v>
      </c>
      <c r="AH20" s="1" t="str">
        <f>IF(Table1[[#This Row],[corpusMeanLenChars]]=500, Table1[[#This Row],[mem-amt]], "")</f>
        <v/>
      </c>
    </row>
    <row r="21" spans="1:34" x14ac:dyDescent="0.25">
      <c r="A21" s="1" t="s">
        <v>71</v>
      </c>
      <c r="B21" s="1" t="str">
        <f>Table1[[#This Row],[test]]&amp;"@"&amp;Table1[[#This Row],[corpus]]</f>
        <v>perfexp-cfa-pal-ll-share-na@corpus-1-200-1.txt</v>
      </c>
      <c r="C21" s="5" t="s">
        <v>66</v>
      </c>
      <c r="D21" s="5" t="s">
        <v>59</v>
      </c>
      <c r="E21" s="5">
        <v>0.05</v>
      </c>
      <c r="F21" s="5" t="s">
        <v>45</v>
      </c>
      <c r="G21" s="5">
        <v>1</v>
      </c>
      <c r="H21" s="5">
        <v>200</v>
      </c>
      <c r="I21" s="29">
        <v>195800000</v>
      </c>
      <c r="J21" s="33">
        <v>10.000517</v>
      </c>
      <c r="K21" s="35" t="str">
        <f>MID(Table1[[#This Row],[test]], LEN("perfexp-")+1, 9999)</f>
        <v>cfa-pal-ll-share-na</v>
      </c>
      <c r="L21" s="1">
        <f>FIND("-p", Table1[[#This Row],[test-allvar]])+LEN("-")</f>
        <v>5</v>
      </c>
      <c r="M21" s="1" t="str">
        <f>MID(Table1[[#This Row],[test-allvar]], Table1[[#This Row],[operation-idx]], LEN("pta"))</f>
        <v>pal</v>
      </c>
      <c r="N21" s="1" t="str">
        <f>LEFT(Table1[[#This Row],[test-allvar]], Table1[[#This Row],[operation-idx]]-LEN("-")-1) &amp; MID(Table1[[#This Row],[test-allvar]], Table1[[#This Row],[operation-idx]]+LEN(Table1[[#This Row],[operation]]), 9999)</f>
        <v>cfa-ll-share-na</v>
      </c>
      <c r="O21" s="1" t="str">
        <f>IFERROR( LEFT(Table1[[#This Row],[sut]], FIND("-", Table1[[#This Row],[sut]])-1), Table1[[#This Row],[sut]])</f>
        <v>cfa</v>
      </c>
      <c r="P21" s="1" t="str">
        <f>IF(Table1[[#This Row],[sut-platform]]="cfa", MID(Table1[[#This Row],[sut]], 5, 2), "~na~")</f>
        <v>ll</v>
      </c>
      <c r="Q21" s="1" t="str">
        <f>IF(Table1[[#This Row],[sut-platform]]="cfa", MID(Table1[[#This Row],[sut]], 8, 999), Table1[[#This Row],[sut-cfa-level]])</f>
        <v>share-na</v>
      </c>
      <c r="R21" s="1" t="str">
        <f>IF(Table1[[#This Row],[sut-platform]]="cfa", LEFT(Table1[[#This Row],[suffix-cfa-sharing-alloc]], FIND("-",Table1[[#This Row],[suffix-cfa-sharing-alloc]])-1), "~na~")</f>
        <v>share</v>
      </c>
      <c r="S21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T21" s="1" t="str">
        <f>MID(Table1[[#This Row],[corpus]], LEN("corpus-")+1, 999)</f>
        <v>1-200-1.txt</v>
      </c>
      <c r="U21" s="1" t="str">
        <f>LEFT(Table1[[#This Row],[corpus-varsuffix]], FIND(".txt", Table1[[#This Row],[corpus-varsuffix]])-1)</f>
        <v>1-200-1</v>
      </c>
      <c r="V21" s="1">
        <f>INT(LEFT(Table1[[#This Row],[corpus-allvar]], FIND("-", Table1[[#This Row],[corpus-varsuffix]])-1))</f>
        <v>1</v>
      </c>
      <c r="W21" s="1" t="str">
        <f>MID(Table1[[#This Row],[corpus-allvar]], LEN(Table1[[#This Row],[corpus-nstrs]])+2, 999)</f>
        <v>200-1</v>
      </c>
      <c r="X21" s="1">
        <f>INT(LEFT(Table1[[#This Row],[corpus-varsuffix2]], FIND("-", Table1[[#This Row],[corpus-varsuffix2]])-1))</f>
        <v>200</v>
      </c>
      <c r="Y21" s="1">
        <f>INT(MID(Table1[[#This Row],[corpus-varsuffix2]], LEN(Table1[[#This Row],[corpus-meanlen]])+2, 999))</f>
        <v>1</v>
      </c>
      <c r="Z21" s="4">
        <f>Table1[[#This Row],[concatDoneActualCount]]/Table1[[#This Row],[execTimeActualSec]]</f>
        <v>19578987.766332481</v>
      </c>
      <c r="AA21" s="4">
        <f>CONVERT(Table1[[#This Row],[execTimeActualSec]]/Table1[[#This Row],[concatDoneActualCount]], "s", "ns")</f>
        <v>51.075163432073545</v>
      </c>
      <c r="AB21" s="1" t="str">
        <f>Table1[[#This Row],[corpus-meanlen]]&amp;"-"&amp;Table1[[#This Row],[heapGrowThreshold]]</f>
        <v>200-0.05</v>
      </c>
      <c r="AC21" s="1">
        <f>INDEX(importmem[seclast_req_mem], MATCH(Table1[[#This Row],[memrowid]], importmem[rowid], 0))</f>
        <v>4107966</v>
      </c>
      <c r="AD21" s="1" t="str">
        <f>IF(Table1[[#This Row],[corpusMeanLenChars]]=20, Table1[[#This Row],[mem-amt]], "")</f>
        <v/>
      </c>
      <c r="AE21" s="1" t="str">
        <f>IF(Table1[[#This Row],[corpusMeanLenChars]]=50, Table1[[#This Row],[mem-amt]], "")</f>
        <v/>
      </c>
      <c r="AF21" s="1" t="str">
        <f>IF(Table1[[#This Row],[corpusMeanLenChars]]=100, Table1[[#This Row],[mem-amt]], "")</f>
        <v/>
      </c>
      <c r="AG21" s="1">
        <f>IF(Table1[[#This Row],[corpusMeanLenChars]]=200, Table1[[#This Row],[mem-amt]], "")</f>
        <v>4107966</v>
      </c>
      <c r="AH21" s="1" t="str">
        <f>IF(Table1[[#This Row],[corpusMeanLenChars]]=500, Table1[[#This Row],[mem-amt]], "")</f>
        <v/>
      </c>
    </row>
    <row r="22" spans="1:34" x14ac:dyDescent="0.25">
      <c r="A22" s="1" t="s">
        <v>71</v>
      </c>
      <c r="B22" s="1" t="str">
        <f>Table1[[#This Row],[test]]&amp;"@"&amp;Table1[[#This Row],[corpus]]</f>
        <v>perfexp-cfa-pal-ll-share-na@corpus-1-200-1.txt</v>
      </c>
      <c r="C22" s="5" t="s">
        <v>66</v>
      </c>
      <c r="D22" s="5" t="s">
        <v>59</v>
      </c>
      <c r="E22" s="5">
        <v>0.1</v>
      </c>
      <c r="F22" s="5" t="s">
        <v>45</v>
      </c>
      <c r="G22" s="5">
        <v>1</v>
      </c>
      <c r="H22" s="5">
        <v>200</v>
      </c>
      <c r="I22" s="29">
        <v>195010000</v>
      </c>
      <c r="J22" s="33">
        <v>10.000181</v>
      </c>
      <c r="K22" s="35" t="str">
        <f>MID(Table1[[#This Row],[test]], LEN("perfexp-")+1, 9999)</f>
        <v>cfa-pal-ll-share-na</v>
      </c>
      <c r="L22" s="1">
        <f>FIND("-p", Table1[[#This Row],[test-allvar]])+LEN("-")</f>
        <v>5</v>
      </c>
      <c r="M22" s="1" t="str">
        <f>MID(Table1[[#This Row],[test-allvar]], Table1[[#This Row],[operation-idx]], LEN("pta"))</f>
        <v>pal</v>
      </c>
      <c r="N22" s="1" t="str">
        <f>LEFT(Table1[[#This Row],[test-allvar]], Table1[[#This Row],[operation-idx]]-LEN("-")-1) &amp; MID(Table1[[#This Row],[test-allvar]], Table1[[#This Row],[operation-idx]]+LEN(Table1[[#This Row],[operation]]), 9999)</f>
        <v>cfa-ll-share-na</v>
      </c>
      <c r="O22" s="1" t="str">
        <f>IFERROR( LEFT(Table1[[#This Row],[sut]], FIND("-", Table1[[#This Row],[sut]])-1), Table1[[#This Row],[sut]])</f>
        <v>cfa</v>
      </c>
      <c r="P22" s="1" t="str">
        <f>IF(Table1[[#This Row],[sut-platform]]="cfa", MID(Table1[[#This Row],[sut]], 5, 2), "~na~")</f>
        <v>ll</v>
      </c>
      <c r="Q22" s="1" t="str">
        <f>IF(Table1[[#This Row],[sut-platform]]="cfa", MID(Table1[[#This Row],[sut]], 8, 999), Table1[[#This Row],[sut-cfa-level]])</f>
        <v>share-na</v>
      </c>
      <c r="R22" s="1" t="str">
        <f>IF(Table1[[#This Row],[sut-platform]]="cfa", LEFT(Table1[[#This Row],[suffix-cfa-sharing-alloc]], FIND("-",Table1[[#This Row],[suffix-cfa-sharing-alloc]])-1), "~na~")</f>
        <v>share</v>
      </c>
      <c r="S22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T22" s="1" t="str">
        <f>MID(Table1[[#This Row],[corpus]], LEN("corpus-")+1, 999)</f>
        <v>1-200-1.txt</v>
      </c>
      <c r="U22" s="1" t="str">
        <f>LEFT(Table1[[#This Row],[corpus-varsuffix]], FIND(".txt", Table1[[#This Row],[corpus-varsuffix]])-1)</f>
        <v>1-200-1</v>
      </c>
      <c r="V22" s="1">
        <f>INT(LEFT(Table1[[#This Row],[corpus-allvar]], FIND("-", Table1[[#This Row],[corpus-varsuffix]])-1))</f>
        <v>1</v>
      </c>
      <c r="W22" s="1" t="str">
        <f>MID(Table1[[#This Row],[corpus-allvar]], LEN(Table1[[#This Row],[corpus-nstrs]])+2, 999)</f>
        <v>200-1</v>
      </c>
      <c r="X22" s="1">
        <f>INT(LEFT(Table1[[#This Row],[corpus-varsuffix2]], FIND("-", Table1[[#This Row],[corpus-varsuffix2]])-1))</f>
        <v>200</v>
      </c>
      <c r="Y22" s="1">
        <f>INT(MID(Table1[[#This Row],[corpus-varsuffix2]], LEN(Table1[[#This Row],[corpus-meanlen]])+2, 999))</f>
        <v>1</v>
      </c>
      <c r="Z22" s="4">
        <f>Table1[[#This Row],[concatDoneActualCount]]/Table1[[#This Row],[execTimeActualSec]]</f>
        <v>19500647.038288608</v>
      </c>
      <c r="AA22" s="4">
        <f>CONVERT(Table1[[#This Row],[execTimeActualSec]]/Table1[[#This Row],[concatDoneActualCount]], "s", "ns")</f>
        <v>51.280349725655093</v>
      </c>
      <c r="AB22" s="1" t="str">
        <f>Table1[[#This Row],[corpus-meanlen]]&amp;"-"&amp;Table1[[#This Row],[heapGrowThreshold]]</f>
        <v>200-0.1</v>
      </c>
      <c r="AC22" s="1">
        <f>INDEX(importmem[seclast_req_mem], MATCH(Table1[[#This Row],[memrowid]], importmem[rowid], 0))</f>
        <v>2059966</v>
      </c>
      <c r="AD22" s="1" t="str">
        <f>IF(Table1[[#This Row],[corpusMeanLenChars]]=20, Table1[[#This Row],[mem-amt]], "")</f>
        <v/>
      </c>
      <c r="AE22" s="1" t="str">
        <f>IF(Table1[[#This Row],[corpusMeanLenChars]]=50, Table1[[#This Row],[mem-amt]], "")</f>
        <v/>
      </c>
      <c r="AF22" s="1" t="str">
        <f>IF(Table1[[#This Row],[corpusMeanLenChars]]=100, Table1[[#This Row],[mem-amt]], "")</f>
        <v/>
      </c>
      <c r="AG22" s="1">
        <f>IF(Table1[[#This Row],[corpusMeanLenChars]]=200, Table1[[#This Row],[mem-amt]], "")</f>
        <v>2059966</v>
      </c>
      <c r="AH22" s="1" t="str">
        <f>IF(Table1[[#This Row],[corpusMeanLenChars]]=500, Table1[[#This Row],[mem-amt]], "")</f>
        <v/>
      </c>
    </row>
    <row r="23" spans="1:34" x14ac:dyDescent="0.25">
      <c r="A23" s="1" t="s">
        <v>71</v>
      </c>
      <c r="B23" s="1" t="str">
        <f>Table1[[#This Row],[test]]&amp;"@"&amp;Table1[[#This Row],[corpus]]</f>
        <v>perfexp-cfa-pal-ll-share-na@corpus-1-200-1.txt</v>
      </c>
      <c r="C23" s="5" t="s">
        <v>66</v>
      </c>
      <c r="D23" s="5" t="s">
        <v>59</v>
      </c>
      <c r="E23" s="5">
        <v>0.2</v>
      </c>
      <c r="F23" s="5" t="s">
        <v>45</v>
      </c>
      <c r="G23" s="5">
        <v>1</v>
      </c>
      <c r="H23" s="5">
        <v>200</v>
      </c>
      <c r="I23" s="29">
        <v>191590000</v>
      </c>
      <c r="J23" s="33">
        <v>10.000189000000001</v>
      </c>
      <c r="K23" s="35" t="str">
        <f>MID(Table1[[#This Row],[test]], LEN("perfexp-")+1, 9999)</f>
        <v>cfa-pal-ll-share-na</v>
      </c>
      <c r="L23" s="1">
        <f>FIND("-p", Table1[[#This Row],[test-allvar]])+LEN("-")</f>
        <v>5</v>
      </c>
      <c r="M23" s="1" t="str">
        <f>MID(Table1[[#This Row],[test-allvar]], Table1[[#This Row],[operation-idx]], LEN("pta"))</f>
        <v>pal</v>
      </c>
      <c r="N23" s="1" t="str">
        <f>LEFT(Table1[[#This Row],[test-allvar]], Table1[[#This Row],[operation-idx]]-LEN("-")-1) &amp; MID(Table1[[#This Row],[test-allvar]], Table1[[#This Row],[operation-idx]]+LEN(Table1[[#This Row],[operation]]), 9999)</f>
        <v>cfa-ll-share-na</v>
      </c>
      <c r="O23" s="1" t="str">
        <f>IFERROR( LEFT(Table1[[#This Row],[sut]], FIND("-", Table1[[#This Row],[sut]])-1), Table1[[#This Row],[sut]])</f>
        <v>cfa</v>
      </c>
      <c r="P23" s="1" t="str">
        <f>IF(Table1[[#This Row],[sut-platform]]="cfa", MID(Table1[[#This Row],[sut]], 5, 2), "~na~")</f>
        <v>ll</v>
      </c>
      <c r="Q23" s="1" t="str">
        <f>IF(Table1[[#This Row],[sut-platform]]="cfa", MID(Table1[[#This Row],[sut]], 8, 999), Table1[[#This Row],[sut-cfa-level]])</f>
        <v>share-na</v>
      </c>
      <c r="R23" s="1" t="str">
        <f>IF(Table1[[#This Row],[sut-platform]]="cfa", LEFT(Table1[[#This Row],[suffix-cfa-sharing-alloc]], FIND("-",Table1[[#This Row],[suffix-cfa-sharing-alloc]])-1), "~na~")</f>
        <v>share</v>
      </c>
      <c r="S23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T23" s="1" t="str">
        <f>MID(Table1[[#This Row],[corpus]], LEN("corpus-")+1, 999)</f>
        <v>1-200-1.txt</v>
      </c>
      <c r="U23" s="1" t="str">
        <f>LEFT(Table1[[#This Row],[corpus-varsuffix]], FIND(".txt", Table1[[#This Row],[corpus-varsuffix]])-1)</f>
        <v>1-200-1</v>
      </c>
      <c r="V23" s="1">
        <f>INT(LEFT(Table1[[#This Row],[corpus-allvar]], FIND("-", Table1[[#This Row],[corpus-varsuffix]])-1))</f>
        <v>1</v>
      </c>
      <c r="W23" s="1" t="str">
        <f>MID(Table1[[#This Row],[corpus-allvar]], LEN(Table1[[#This Row],[corpus-nstrs]])+2, 999)</f>
        <v>200-1</v>
      </c>
      <c r="X23" s="1">
        <f>INT(LEFT(Table1[[#This Row],[corpus-varsuffix2]], FIND("-", Table1[[#This Row],[corpus-varsuffix2]])-1))</f>
        <v>200</v>
      </c>
      <c r="Y23" s="1">
        <f>INT(MID(Table1[[#This Row],[corpus-varsuffix2]], LEN(Table1[[#This Row],[corpus-meanlen]])+2, 999))</f>
        <v>1</v>
      </c>
      <c r="Z23" s="4">
        <f>Table1[[#This Row],[concatDoneActualCount]]/Table1[[#This Row],[execTimeActualSec]]</f>
        <v>19158637.901743654</v>
      </c>
      <c r="AA23" s="4">
        <f>CONVERT(Table1[[#This Row],[execTimeActualSec]]/Table1[[#This Row],[concatDoneActualCount]], "s", "ns")</f>
        <v>52.195777441411352</v>
      </c>
      <c r="AB23" s="1" t="str">
        <f>Table1[[#This Row],[corpus-meanlen]]&amp;"-"&amp;Table1[[#This Row],[heapGrowThreshold]]</f>
        <v>200-0.2</v>
      </c>
      <c r="AC23" s="1">
        <f>INDEX(importmem[seclast_req_mem], MATCH(Table1[[#This Row],[memrowid]], importmem[rowid], 0))</f>
        <v>1035966</v>
      </c>
      <c r="AD23" s="1" t="str">
        <f>IF(Table1[[#This Row],[corpusMeanLenChars]]=20, Table1[[#This Row],[mem-amt]], "")</f>
        <v/>
      </c>
      <c r="AE23" s="1" t="str">
        <f>IF(Table1[[#This Row],[corpusMeanLenChars]]=50, Table1[[#This Row],[mem-amt]], "")</f>
        <v/>
      </c>
      <c r="AF23" s="1" t="str">
        <f>IF(Table1[[#This Row],[corpusMeanLenChars]]=100, Table1[[#This Row],[mem-amt]], "")</f>
        <v/>
      </c>
      <c r="AG23" s="1">
        <f>IF(Table1[[#This Row],[corpusMeanLenChars]]=200, Table1[[#This Row],[mem-amt]], "")</f>
        <v>1035966</v>
      </c>
      <c r="AH23" s="1" t="str">
        <f>IF(Table1[[#This Row],[corpusMeanLenChars]]=500, Table1[[#This Row],[mem-amt]], "")</f>
        <v/>
      </c>
    </row>
    <row r="24" spans="1:34" x14ac:dyDescent="0.25">
      <c r="A24" s="1" t="s">
        <v>71</v>
      </c>
      <c r="B24" s="1" t="str">
        <f>Table1[[#This Row],[test]]&amp;"@"&amp;Table1[[#This Row],[corpus]]</f>
        <v>perfexp-cfa-pal-ll-share-na@corpus-1-200-1.txt</v>
      </c>
      <c r="C24" s="5" t="s">
        <v>66</v>
      </c>
      <c r="D24" s="5" t="s">
        <v>59</v>
      </c>
      <c r="E24" s="5">
        <v>0.5</v>
      </c>
      <c r="F24" s="5" t="s">
        <v>45</v>
      </c>
      <c r="G24" s="5">
        <v>1</v>
      </c>
      <c r="H24" s="5">
        <v>200</v>
      </c>
      <c r="I24" s="29">
        <v>181820000</v>
      </c>
      <c r="J24" s="33">
        <v>10.000651</v>
      </c>
      <c r="K24" s="35" t="str">
        <f>MID(Table1[[#This Row],[test]], LEN("perfexp-")+1, 9999)</f>
        <v>cfa-pal-ll-share-na</v>
      </c>
      <c r="L24" s="1">
        <f>FIND("-p", Table1[[#This Row],[test-allvar]])+LEN("-")</f>
        <v>5</v>
      </c>
      <c r="M24" s="1" t="str">
        <f>MID(Table1[[#This Row],[test-allvar]], Table1[[#This Row],[operation-idx]], LEN("pta"))</f>
        <v>pal</v>
      </c>
      <c r="N24" s="1" t="str">
        <f>LEFT(Table1[[#This Row],[test-allvar]], Table1[[#This Row],[operation-idx]]-LEN("-")-1) &amp; MID(Table1[[#This Row],[test-allvar]], Table1[[#This Row],[operation-idx]]+LEN(Table1[[#This Row],[operation]]), 9999)</f>
        <v>cfa-ll-share-na</v>
      </c>
      <c r="O24" s="1" t="str">
        <f>IFERROR( LEFT(Table1[[#This Row],[sut]], FIND("-", Table1[[#This Row],[sut]])-1), Table1[[#This Row],[sut]])</f>
        <v>cfa</v>
      </c>
      <c r="P24" s="1" t="str">
        <f>IF(Table1[[#This Row],[sut-platform]]="cfa", MID(Table1[[#This Row],[sut]], 5, 2), "~na~")</f>
        <v>ll</v>
      </c>
      <c r="Q24" s="1" t="str">
        <f>IF(Table1[[#This Row],[sut-platform]]="cfa", MID(Table1[[#This Row],[sut]], 8, 999), Table1[[#This Row],[sut-cfa-level]])</f>
        <v>share-na</v>
      </c>
      <c r="R24" s="1" t="str">
        <f>IF(Table1[[#This Row],[sut-platform]]="cfa", LEFT(Table1[[#This Row],[suffix-cfa-sharing-alloc]], FIND("-",Table1[[#This Row],[suffix-cfa-sharing-alloc]])-1), "~na~")</f>
        <v>share</v>
      </c>
      <c r="S24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T24" s="1" t="str">
        <f>MID(Table1[[#This Row],[corpus]], LEN("corpus-")+1, 999)</f>
        <v>1-200-1.txt</v>
      </c>
      <c r="U24" s="1" t="str">
        <f>LEFT(Table1[[#This Row],[corpus-varsuffix]], FIND(".txt", Table1[[#This Row],[corpus-varsuffix]])-1)</f>
        <v>1-200-1</v>
      </c>
      <c r="V24" s="1">
        <f>INT(LEFT(Table1[[#This Row],[corpus-allvar]], FIND("-", Table1[[#This Row],[corpus-varsuffix]])-1))</f>
        <v>1</v>
      </c>
      <c r="W24" s="1" t="str">
        <f>MID(Table1[[#This Row],[corpus-allvar]], LEN(Table1[[#This Row],[corpus-nstrs]])+2, 999)</f>
        <v>200-1</v>
      </c>
      <c r="X24" s="1">
        <f>INT(LEFT(Table1[[#This Row],[corpus-varsuffix2]], FIND("-", Table1[[#This Row],[corpus-varsuffix2]])-1))</f>
        <v>200</v>
      </c>
      <c r="Y24" s="1">
        <f>INT(MID(Table1[[#This Row],[corpus-varsuffix2]], LEN(Table1[[#This Row],[corpus-meanlen]])+2, 999))</f>
        <v>1</v>
      </c>
      <c r="Z24" s="4">
        <f>Table1[[#This Row],[concatDoneActualCount]]/Table1[[#This Row],[execTimeActualSec]]</f>
        <v>18180816.428850483</v>
      </c>
      <c r="AA24" s="4">
        <f>CONVERT(Table1[[#This Row],[execTimeActualSec]]/Table1[[#This Row],[concatDoneActualCount]], "s", "ns")</f>
        <v>55.003030469695304</v>
      </c>
      <c r="AB24" s="1" t="str">
        <f>Table1[[#This Row],[corpus-meanlen]]&amp;"-"&amp;Table1[[#This Row],[heapGrowThreshold]]</f>
        <v>200-0.5</v>
      </c>
      <c r="AC24" s="1">
        <f>INDEX(importmem[seclast_req_mem], MATCH(Table1[[#This Row],[memrowid]], importmem[rowid], 0))</f>
        <v>523966</v>
      </c>
      <c r="AD24" s="1" t="str">
        <f>IF(Table1[[#This Row],[corpusMeanLenChars]]=20, Table1[[#This Row],[mem-amt]], "")</f>
        <v/>
      </c>
      <c r="AE24" s="1" t="str">
        <f>IF(Table1[[#This Row],[corpusMeanLenChars]]=50, Table1[[#This Row],[mem-amt]], "")</f>
        <v/>
      </c>
      <c r="AF24" s="1" t="str">
        <f>IF(Table1[[#This Row],[corpusMeanLenChars]]=100, Table1[[#This Row],[mem-amt]], "")</f>
        <v/>
      </c>
      <c r="AG24" s="1">
        <f>IF(Table1[[#This Row],[corpusMeanLenChars]]=200, Table1[[#This Row],[mem-amt]], "")</f>
        <v>523966</v>
      </c>
      <c r="AH24" s="1" t="str">
        <f>IF(Table1[[#This Row],[corpusMeanLenChars]]=500, Table1[[#This Row],[mem-amt]], "")</f>
        <v/>
      </c>
    </row>
    <row r="25" spans="1:34" x14ac:dyDescent="0.25">
      <c r="A25" s="1" t="s">
        <v>71</v>
      </c>
      <c r="B25" s="13" t="str">
        <f>Table1[[#This Row],[test]]&amp;"@"&amp;Table1[[#This Row],[corpus]]</f>
        <v>perfexp-cfa-pal-ll-share-na@corpus-1-200-1.txt</v>
      </c>
      <c r="C25" s="5" t="s">
        <v>66</v>
      </c>
      <c r="D25" s="5" t="s">
        <v>59</v>
      </c>
      <c r="E25" s="5">
        <v>0.9</v>
      </c>
      <c r="F25" s="5" t="s">
        <v>45</v>
      </c>
      <c r="G25" s="5">
        <v>1</v>
      </c>
      <c r="H25" s="5">
        <v>200</v>
      </c>
      <c r="I25" s="29">
        <v>149230000</v>
      </c>
      <c r="J25" s="33">
        <v>10.000360000000001</v>
      </c>
      <c r="K25" s="35" t="str">
        <f>MID(Table1[[#This Row],[test]], LEN("perfexp-")+1, 9999)</f>
        <v>cfa-pal-ll-share-na</v>
      </c>
      <c r="L25" s="13">
        <f>FIND("-p", Table1[[#This Row],[test-allvar]])+LEN("-")</f>
        <v>5</v>
      </c>
      <c r="M25" s="13" t="str">
        <f>MID(Table1[[#This Row],[test-allvar]], Table1[[#This Row],[operation-idx]], LEN("pta"))</f>
        <v>pal</v>
      </c>
      <c r="N25" s="13" t="str">
        <f>LEFT(Table1[[#This Row],[test-allvar]], Table1[[#This Row],[operation-idx]]-LEN("-")-1) &amp; MID(Table1[[#This Row],[test-allvar]], Table1[[#This Row],[operation-idx]]+LEN(Table1[[#This Row],[operation]]), 9999)</f>
        <v>cfa-ll-share-na</v>
      </c>
      <c r="O25" s="13" t="str">
        <f>IFERROR( LEFT(Table1[[#This Row],[sut]], FIND("-", Table1[[#This Row],[sut]])-1), Table1[[#This Row],[sut]])</f>
        <v>cfa</v>
      </c>
      <c r="P25" s="13" t="str">
        <f>IF(Table1[[#This Row],[sut-platform]]="cfa", MID(Table1[[#This Row],[sut]], 5, 2), "~na~")</f>
        <v>ll</v>
      </c>
      <c r="Q25" s="13" t="str">
        <f>IF(Table1[[#This Row],[sut-platform]]="cfa", MID(Table1[[#This Row],[sut]], 8, 999), Table1[[#This Row],[sut-cfa-level]])</f>
        <v>share-na</v>
      </c>
      <c r="R25" s="13" t="str">
        <f>IF(Table1[[#This Row],[sut-platform]]="cfa", LEFT(Table1[[#This Row],[suffix-cfa-sharing-alloc]], FIND("-",Table1[[#This Row],[suffix-cfa-sharing-alloc]])-1), "~na~")</f>
        <v>share</v>
      </c>
      <c r="S25" s="13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T25" s="13" t="str">
        <f>MID(Table1[[#This Row],[corpus]], LEN("corpus-")+1, 999)</f>
        <v>1-200-1.txt</v>
      </c>
      <c r="U25" s="13" t="str">
        <f>LEFT(Table1[[#This Row],[corpus-varsuffix]], FIND(".txt", Table1[[#This Row],[corpus-varsuffix]])-1)</f>
        <v>1-200-1</v>
      </c>
      <c r="V25" s="13">
        <f>INT(LEFT(Table1[[#This Row],[corpus-allvar]], FIND("-", Table1[[#This Row],[corpus-varsuffix]])-1))</f>
        <v>1</v>
      </c>
      <c r="W25" s="13" t="str">
        <f>MID(Table1[[#This Row],[corpus-allvar]], LEN(Table1[[#This Row],[corpus-nstrs]])+2, 999)</f>
        <v>200-1</v>
      </c>
      <c r="X25" s="13">
        <f>INT(LEFT(Table1[[#This Row],[corpus-varsuffix2]], FIND("-", Table1[[#This Row],[corpus-varsuffix2]])-1))</f>
        <v>200</v>
      </c>
      <c r="Y25" s="13">
        <f>INT(MID(Table1[[#This Row],[corpus-varsuffix2]], LEN(Table1[[#This Row],[corpus-meanlen]])+2, 999))</f>
        <v>1</v>
      </c>
      <c r="Z25" s="25">
        <f>Table1[[#This Row],[concatDoneActualCount]]/Table1[[#This Row],[execTimeActualSec]]</f>
        <v>14922462.791339511</v>
      </c>
      <c r="AA25" s="25">
        <f>CONVERT(Table1[[#This Row],[execTimeActualSec]]/Table1[[#This Row],[concatDoneActualCount]], "s", "ns")</f>
        <v>67.013067077665355</v>
      </c>
      <c r="AB25" s="1" t="str">
        <f>Table1[[#This Row],[corpus-meanlen]]&amp;"-"&amp;Table1[[#This Row],[heapGrowThreshold]]</f>
        <v>200-0.9</v>
      </c>
      <c r="AC25" s="1">
        <f>INDEX(importmem[seclast_req_mem], MATCH(Table1[[#This Row],[memrowid]], importmem[rowid], 0))</f>
        <v>267966</v>
      </c>
      <c r="AD25" s="1" t="str">
        <f>IF(Table1[[#This Row],[corpusMeanLenChars]]=20, Table1[[#This Row],[mem-amt]], "")</f>
        <v/>
      </c>
      <c r="AE25" s="1" t="str">
        <f>IF(Table1[[#This Row],[corpusMeanLenChars]]=50, Table1[[#This Row],[mem-amt]], "")</f>
        <v/>
      </c>
      <c r="AF25" s="1" t="str">
        <f>IF(Table1[[#This Row],[corpusMeanLenChars]]=100, Table1[[#This Row],[mem-amt]], "")</f>
        <v/>
      </c>
      <c r="AG25" s="1">
        <f>IF(Table1[[#This Row],[corpusMeanLenChars]]=200, Table1[[#This Row],[mem-amt]], "")</f>
        <v>267966</v>
      </c>
      <c r="AH25" s="1" t="str">
        <f>IF(Table1[[#This Row],[corpusMeanLenChars]]=500, Table1[[#This Row],[mem-amt]], "")</f>
        <v/>
      </c>
    </row>
    <row r="26" spans="1:34" x14ac:dyDescent="0.25">
      <c r="A26" s="1" t="s">
        <v>70</v>
      </c>
      <c r="B26" s="1" t="str">
        <f>Table1[[#This Row],[test]]&amp;"@"&amp;Table1[[#This Row],[corpus]]</f>
        <v>perfexp-cfa-pal-ll-share-na@corpus-1-500-1.txt</v>
      </c>
      <c r="C26" s="5" t="s">
        <v>66</v>
      </c>
      <c r="D26" s="5" t="s">
        <v>62</v>
      </c>
      <c r="E26" s="5">
        <v>0.02</v>
      </c>
      <c r="F26" s="5" t="s">
        <v>45</v>
      </c>
      <c r="G26" s="5">
        <v>1</v>
      </c>
      <c r="H26" s="5">
        <v>500</v>
      </c>
      <c r="I26" s="29">
        <v>87190000</v>
      </c>
      <c r="J26" s="33">
        <v>10.000909999999999</v>
      </c>
      <c r="K26" s="40" t="str">
        <f>MID(Table1[[#This Row],[test]], LEN("perfexp-")+1, 9999)</f>
        <v>cfa-pal-ll-share-na</v>
      </c>
      <c r="L26">
        <f>FIND("-p", Table1[[#This Row],[test-allvar]])+LEN("-")</f>
        <v>5</v>
      </c>
      <c r="M26" t="str">
        <f>MID(Table1[[#This Row],[test-allvar]], Table1[[#This Row],[operation-idx]], LEN("pta"))</f>
        <v>pal</v>
      </c>
      <c r="N26" s="1" t="str">
        <f>LEFT(Table1[[#This Row],[test-allvar]], Table1[[#This Row],[operation-idx]]-LEN("-")-1) &amp; MID(Table1[[#This Row],[test-allvar]], Table1[[#This Row],[operation-idx]]+LEN(Table1[[#This Row],[operation]]), 9999)</f>
        <v>cfa-ll-share-na</v>
      </c>
      <c r="O26" s="1" t="str">
        <f>IFERROR( LEFT(Table1[[#This Row],[sut]], FIND("-", Table1[[#This Row],[sut]])-1), Table1[[#This Row],[sut]])</f>
        <v>cfa</v>
      </c>
      <c r="P26" s="1" t="str">
        <f>IF(Table1[[#This Row],[sut-platform]]="cfa", MID(Table1[[#This Row],[sut]], 5, 2), "~na~")</f>
        <v>ll</v>
      </c>
      <c r="Q26" s="1" t="str">
        <f>IF(Table1[[#This Row],[sut-platform]]="cfa", MID(Table1[[#This Row],[sut]], 8, 999), Table1[[#This Row],[sut-cfa-level]])</f>
        <v>share-na</v>
      </c>
      <c r="R26" s="1" t="str">
        <f>IF(Table1[[#This Row],[sut-platform]]="cfa", LEFT(Table1[[#This Row],[suffix-cfa-sharing-alloc]], FIND("-",Table1[[#This Row],[suffix-cfa-sharing-alloc]])-1), "~na~")</f>
        <v>share</v>
      </c>
      <c r="S26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T26" s="1" t="str">
        <f>MID(Table1[[#This Row],[corpus]], LEN("corpus-")+1, 999)</f>
        <v>1-500-1.txt</v>
      </c>
      <c r="U26" s="1" t="str">
        <f>LEFT(Table1[[#This Row],[corpus-varsuffix]], FIND(".txt", Table1[[#This Row],[corpus-varsuffix]])-1)</f>
        <v>1-500-1</v>
      </c>
      <c r="V26" s="1">
        <f>INT(LEFT(Table1[[#This Row],[corpus-allvar]], FIND("-", Table1[[#This Row],[corpus-varsuffix]])-1))</f>
        <v>1</v>
      </c>
      <c r="W26" s="1" t="str">
        <f>MID(Table1[[#This Row],[corpus-allvar]], LEN(Table1[[#This Row],[corpus-nstrs]])+2, 999)</f>
        <v>500-1</v>
      </c>
      <c r="X26" s="1">
        <f>INT(LEFT(Table1[[#This Row],[corpus-varsuffix2]], FIND("-", Table1[[#This Row],[corpus-varsuffix2]])-1))</f>
        <v>500</v>
      </c>
      <c r="Y26" s="1">
        <f>INT(MID(Table1[[#This Row],[corpus-varsuffix2]], LEN(Table1[[#This Row],[corpus-meanlen]])+2, 999))</f>
        <v>1</v>
      </c>
      <c r="Z26" s="4">
        <f>Table1[[#This Row],[concatDoneActualCount]]/Table1[[#This Row],[execTimeActualSec]]</f>
        <v>8718206.6431954689</v>
      </c>
      <c r="AA26" s="4">
        <f>CONVERT(Table1[[#This Row],[execTimeActualSec]]/Table1[[#This Row],[concatDoneActualCount]], "s", "ns")</f>
        <v>114.70248881752494</v>
      </c>
      <c r="AB26" s="1" t="str">
        <f>Table1[[#This Row],[corpus-meanlen]]&amp;"-"&amp;Table1[[#This Row],[heapGrowThreshold]]</f>
        <v>500-0.02</v>
      </c>
      <c r="AC26" s="1">
        <f>INDEX(importmem[seclast_req_mem], MATCH(Table1[[#This Row],[memrowid]], importmem[rowid], 0))</f>
        <v>32779966</v>
      </c>
      <c r="AD26" s="1" t="str">
        <f>IF(Table1[[#This Row],[corpusMeanLenChars]]=20, Table1[[#This Row],[mem-amt]], "")</f>
        <v/>
      </c>
      <c r="AE26" s="1" t="str">
        <f>IF(Table1[[#This Row],[corpusMeanLenChars]]=50, Table1[[#This Row],[mem-amt]], "")</f>
        <v/>
      </c>
      <c r="AF26" s="1" t="str">
        <f>IF(Table1[[#This Row],[corpusMeanLenChars]]=100, Table1[[#This Row],[mem-amt]], "")</f>
        <v/>
      </c>
      <c r="AG26" s="1" t="str">
        <f>IF(Table1[[#This Row],[corpusMeanLenChars]]=200, Table1[[#This Row],[mem-amt]], "")</f>
        <v/>
      </c>
      <c r="AH26" s="1">
        <f>IF(Table1[[#This Row],[corpusMeanLenChars]]=500, Table1[[#This Row],[mem-amt]], "")</f>
        <v>32779966</v>
      </c>
    </row>
    <row r="27" spans="1:34" x14ac:dyDescent="0.25">
      <c r="A27" s="1" t="s">
        <v>70</v>
      </c>
      <c r="B27" s="1" t="str">
        <f>Table1[[#This Row],[test]]&amp;"@"&amp;Table1[[#This Row],[corpus]]</f>
        <v>perfexp-cfa-pal-ll-share-na@corpus-1-500-1.txt</v>
      </c>
      <c r="C27" s="5" t="s">
        <v>66</v>
      </c>
      <c r="D27" s="5" t="s">
        <v>62</v>
      </c>
      <c r="E27" s="5">
        <v>0.05</v>
      </c>
      <c r="F27" s="5" t="s">
        <v>45</v>
      </c>
      <c r="G27" s="5">
        <v>1</v>
      </c>
      <c r="H27" s="5">
        <v>500</v>
      </c>
      <c r="I27" s="29">
        <v>85870000</v>
      </c>
      <c r="J27" s="33">
        <v>10.001094</v>
      </c>
      <c r="K27" s="40" t="str">
        <f>MID(Table1[[#This Row],[test]], LEN("perfexp-")+1, 9999)</f>
        <v>cfa-pal-ll-share-na</v>
      </c>
      <c r="L27">
        <f>FIND("-p", Table1[[#This Row],[test-allvar]])+LEN("-")</f>
        <v>5</v>
      </c>
      <c r="M27" t="str">
        <f>MID(Table1[[#This Row],[test-allvar]], Table1[[#This Row],[operation-idx]], LEN("pta"))</f>
        <v>pal</v>
      </c>
      <c r="N27" s="1" t="str">
        <f>LEFT(Table1[[#This Row],[test-allvar]], Table1[[#This Row],[operation-idx]]-LEN("-")-1) &amp; MID(Table1[[#This Row],[test-allvar]], Table1[[#This Row],[operation-idx]]+LEN(Table1[[#This Row],[operation]]), 9999)</f>
        <v>cfa-ll-share-na</v>
      </c>
      <c r="O27" s="1" t="str">
        <f>IFERROR( LEFT(Table1[[#This Row],[sut]], FIND("-", Table1[[#This Row],[sut]])-1), Table1[[#This Row],[sut]])</f>
        <v>cfa</v>
      </c>
      <c r="P27" s="1" t="str">
        <f>IF(Table1[[#This Row],[sut-platform]]="cfa", MID(Table1[[#This Row],[sut]], 5, 2), "~na~")</f>
        <v>ll</v>
      </c>
      <c r="Q27" s="1" t="str">
        <f>IF(Table1[[#This Row],[sut-platform]]="cfa", MID(Table1[[#This Row],[sut]], 8, 999), Table1[[#This Row],[sut-cfa-level]])</f>
        <v>share-na</v>
      </c>
      <c r="R27" s="1" t="str">
        <f>IF(Table1[[#This Row],[sut-platform]]="cfa", LEFT(Table1[[#This Row],[suffix-cfa-sharing-alloc]], FIND("-",Table1[[#This Row],[suffix-cfa-sharing-alloc]])-1), "~na~")</f>
        <v>share</v>
      </c>
      <c r="S27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T27" s="1" t="str">
        <f>MID(Table1[[#This Row],[corpus]], LEN("corpus-")+1, 999)</f>
        <v>1-500-1.txt</v>
      </c>
      <c r="U27" s="1" t="str">
        <f>LEFT(Table1[[#This Row],[corpus-varsuffix]], FIND(".txt", Table1[[#This Row],[corpus-varsuffix]])-1)</f>
        <v>1-500-1</v>
      </c>
      <c r="V27" s="1">
        <f>INT(LEFT(Table1[[#This Row],[corpus-allvar]], FIND("-", Table1[[#This Row],[corpus-varsuffix]])-1))</f>
        <v>1</v>
      </c>
      <c r="W27" s="1" t="str">
        <f>MID(Table1[[#This Row],[corpus-allvar]], LEN(Table1[[#This Row],[corpus-nstrs]])+2, 999)</f>
        <v>500-1</v>
      </c>
      <c r="X27" s="1">
        <f>INT(LEFT(Table1[[#This Row],[corpus-varsuffix2]], FIND("-", Table1[[#This Row],[corpus-varsuffix2]])-1))</f>
        <v>500</v>
      </c>
      <c r="Y27" s="1">
        <f>INT(MID(Table1[[#This Row],[corpus-varsuffix2]], LEN(Table1[[#This Row],[corpus-meanlen]])+2, 999))</f>
        <v>1</v>
      </c>
      <c r="Z27" s="4">
        <f>Table1[[#This Row],[concatDoneActualCount]]/Table1[[#This Row],[execTimeActualSec]]</f>
        <v>8586060.6849610656</v>
      </c>
      <c r="AA27" s="4">
        <f>CONVERT(Table1[[#This Row],[execTimeActualSec]]/Table1[[#This Row],[concatDoneActualCount]], "s", "ns")</f>
        <v>116.46784674507978</v>
      </c>
      <c r="AB27" s="1" t="str">
        <f>Table1[[#This Row],[corpus-meanlen]]&amp;"-"&amp;Table1[[#This Row],[heapGrowThreshold]]</f>
        <v>500-0.05</v>
      </c>
      <c r="AC27" s="1">
        <f>INDEX(importmem[seclast_req_mem], MATCH(Table1[[#This Row],[memrowid]], importmem[rowid], 0))</f>
        <v>16395966</v>
      </c>
      <c r="AD27" s="1" t="str">
        <f>IF(Table1[[#This Row],[corpusMeanLenChars]]=20, Table1[[#This Row],[mem-amt]], "")</f>
        <v/>
      </c>
      <c r="AE27" s="1" t="str">
        <f>IF(Table1[[#This Row],[corpusMeanLenChars]]=50, Table1[[#This Row],[mem-amt]], "")</f>
        <v/>
      </c>
      <c r="AF27" s="1" t="str">
        <f>IF(Table1[[#This Row],[corpusMeanLenChars]]=100, Table1[[#This Row],[mem-amt]], "")</f>
        <v/>
      </c>
      <c r="AG27" s="1" t="str">
        <f>IF(Table1[[#This Row],[corpusMeanLenChars]]=200, Table1[[#This Row],[mem-amt]], "")</f>
        <v/>
      </c>
      <c r="AH27" s="1">
        <f>IF(Table1[[#This Row],[corpusMeanLenChars]]=500, Table1[[#This Row],[mem-amt]], "")</f>
        <v>16395966</v>
      </c>
    </row>
    <row r="28" spans="1:34" x14ac:dyDescent="0.25">
      <c r="A28" s="1" t="s">
        <v>70</v>
      </c>
      <c r="B28" s="1" t="str">
        <f>Table1[[#This Row],[test]]&amp;"@"&amp;Table1[[#This Row],[corpus]]</f>
        <v>perfexp-cfa-pal-ll-share-na@corpus-1-500-1.txt</v>
      </c>
      <c r="C28" s="5" t="s">
        <v>66</v>
      </c>
      <c r="D28" s="27" t="s">
        <v>62</v>
      </c>
      <c r="E28" s="27">
        <v>0.1</v>
      </c>
      <c r="F28" s="5" t="s">
        <v>45</v>
      </c>
      <c r="G28" s="5">
        <v>1</v>
      </c>
      <c r="H28" s="5">
        <v>500</v>
      </c>
      <c r="I28" s="30">
        <v>113590000</v>
      </c>
      <c r="J28" s="33">
        <v>10.000859</v>
      </c>
      <c r="K28" s="40" t="str">
        <f>MID(Table1[[#This Row],[test]], LEN("perfexp-")+1, 9999)</f>
        <v>cfa-pal-ll-share-na</v>
      </c>
      <c r="L28">
        <f>FIND("-p", Table1[[#This Row],[test-allvar]])+LEN("-")</f>
        <v>5</v>
      </c>
      <c r="M28" t="str">
        <f>MID(Table1[[#This Row],[test-allvar]], Table1[[#This Row],[operation-idx]], LEN("pta"))</f>
        <v>pal</v>
      </c>
      <c r="N28" s="1" t="str">
        <f>LEFT(Table1[[#This Row],[test-allvar]], Table1[[#This Row],[operation-idx]]-LEN("-")-1) &amp; MID(Table1[[#This Row],[test-allvar]], Table1[[#This Row],[operation-idx]]+LEN(Table1[[#This Row],[operation]]), 9999)</f>
        <v>cfa-ll-share-na</v>
      </c>
      <c r="O28" s="1" t="str">
        <f>IFERROR( LEFT(Table1[[#This Row],[sut]], FIND("-", Table1[[#This Row],[sut]])-1), Table1[[#This Row],[sut]])</f>
        <v>cfa</v>
      </c>
      <c r="P28" s="1" t="str">
        <f>IF(Table1[[#This Row],[sut-platform]]="cfa", MID(Table1[[#This Row],[sut]], 5, 2), "~na~")</f>
        <v>ll</v>
      </c>
      <c r="Q28" s="1" t="str">
        <f>IF(Table1[[#This Row],[sut-platform]]="cfa", MID(Table1[[#This Row],[sut]], 8, 999), Table1[[#This Row],[sut-cfa-level]])</f>
        <v>share-na</v>
      </c>
      <c r="R28" s="1" t="str">
        <f>IF(Table1[[#This Row],[sut-platform]]="cfa", LEFT(Table1[[#This Row],[suffix-cfa-sharing-alloc]], FIND("-",Table1[[#This Row],[suffix-cfa-sharing-alloc]])-1), "~na~")</f>
        <v>share</v>
      </c>
      <c r="S28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T28" s="1" t="str">
        <f>MID(Table1[[#This Row],[corpus]], LEN("corpus-")+1, 999)</f>
        <v>1-500-1.txt</v>
      </c>
      <c r="U28" s="1" t="str">
        <f>LEFT(Table1[[#This Row],[corpus-varsuffix]], FIND(".txt", Table1[[#This Row],[corpus-varsuffix]])-1)</f>
        <v>1-500-1</v>
      </c>
      <c r="V28" s="1">
        <f>INT(LEFT(Table1[[#This Row],[corpus-allvar]], FIND("-", Table1[[#This Row],[corpus-varsuffix]])-1))</f>
        <v>1</v>
      </c>
      <c r="W28" s="1" t="str">
        <f>MID(Table1[[#This Row],[corpus-allvar]], LEN(Table1[[#This Row],[corpus-nstrs]])+2, 999)</f>
        <v>500-1</v>
      </c>
      <c r="X28" s="1">
        <f>INT(LEFT(Table1[[#This Row],[corpus-varsuffix2]], FIND("-", Table1[[#This Row],[corpus-varsuffix2]])-1))</f>
        <v>500</v>
      </c>
      <c r="Y28" s="1">
        <f>INT(MID(Table1[[#This Row],[corpus-varsuffix2]], LEN(Table1[[#This Row],[corpus-meanlen]])+2, 999))</f>
        <v>1</v>
      </c>
      <c r="Z28" s="4">
        <f>Table1[[#This Row],[concatDoneActualCount]]/Table1[[#This Row],[execTimeActualSec]]</f>
        <v>11358024.345708704</v>
      </c>
      <c r="AA28" s="4">
        <f>CONVERT(Table1[[#This Row],[execTimeActualSec]]/Table1[[#This Row],[concatDoneActualCount]], "s", "ns")</f>
        <v>88.043480940223617</v>
      </c>
      <c r="AB28" s="1" t="str">
        <f>Table1[[#This Row],[corpus-meanlen]]&amp;"-"&amp;Table1[[#This Row],[heapGrowThreshold]]</f>
        <v>500-0.1</v>
      </c>
      <c r="AC28" s="1">
        <f>INDEX(importmem[seclast_req_mem], MATCH(Table1[[#This Row],[memrowid]], importmem[rowid], 0))</f>
        <v>8203966</v>
      </c>
      <c r="AD28" s="1" t="str">
        <f>IF(Table1[[#This Row],[corpusMeanLenChars]]=20, Table1[[#This Row],[mem-amt]], "")</f>
        <v/>
      </c>
      <c r="AE28" s="1" t="str">
        <f>IF(Table1[[#This Row],[corpusMeanLenChars]]=50, Table1[[#This Row],[mem-amt]], "")</f>
        <v/>
      </c>
      <c r="AF28" s="1" t="str">
        <f>IF(Table1[[#This Row],[corpusMeanLenChars]]=100, Table1[[#This Row],[mem-amt]], "")</f>
        <v/>
      </c>
      <c r="AG28" s="1" t="str">
        <f>IF(Table1[[#This Row],[corpusMeanLenChars]]=200, Table1[[#This Row],[mem-amt]], "")</f>
        <v/>
      </c>
      <c r="AH28" s="1">
        <f>IF(Table1[[#This Row],[corpusMeanLenChars]]=500, Table1[[#This Row],[mem-amt]], "")</f>
        <v>8203966</v>
      </c>
    </row>
    <row r="29" spans="1:34" x14ac:dyDescent="0.25">
      <c r="A29" s="1" t="s">
        <v>70</v>
      </c>
      <c r="B29" s="1" t="str">
        <f>Table1[[#This Row],[test]]&amp;"@"&amp;Table1[[#This Row],[corpus]]</f>
        <v>perfexp-cfa-pal-ll-share-na@corpus-1-500-1.txt</v>
      </c>
      <c r="C29" s="5" t="s">
        <v>66</v>
      </c>
      <c r="D29" s="5" t="s">
        <v>62</v>
      </c>
      <c r="E29" s="5">
        <v>0.2</v>
      </c>
      <c r="F29" s="5" t="s">
        <v>45</v>
      </c>
      <c r="G29" s="5">
        <v>1</v>
      </c>
      <c r="H29" s="5">
        <v>500</v>
      </c>
      <c r="I29" s="29">
        <v>112050000</v>
      </c>
      <c r="J29" s="33">
        <v>10.000698999999999</v>
      </c>
      <c r="K29" s="40" t="str">
        <f>MID(Table1[[#This Row],[test]], LEN("perfexp-")+1, 9999)</f>
        <v>cfa-pal-ll-share-na</v>
      </c>
      <c r="L29">
        <f>FIND("-p", Table1[[#This Row],[test-allvar]])+LEN("-")</f>
        <v>5</v>
      </c>
      <c r="M29" t="str">
        <f>MID(Table1[[#This Row],[test-allvar]], Table1[[#This Row],[operation-idx]], LEN("pta"))</f>
        <v>pal</v>
      </c>
      <c r="N29" s="1" t="str">
        <f>LEFT(Table1[[#This Row],[test-allvar]], Table1[[#This Row],[operation-idx]]-LEN("-")-1) &amp; MID(Table1[[#This Row],[test-allvar]], Table1[[#This Row],[operation-idx]]+LEN(Table1[[#This Row],[operation]]), 9999)</f>
        <v>cfa-ll-share-na</v>
      </c>
      <c r="O29" s="1" t="str">
        <f>IFERROR( LEFT(Table1[[#This Row],[sut]], FIND("-", Table1[[#This Row],[sut]])-1), Table1[[#This Row],[sut]])</f>
        <v>cfa</v>
      </c>
      <c r="P29" s="1" t="str">
        <f>IF(Table1[[#This Row],[sut-platform]]="cfa", MID(Table1[[#This Row],[sut]], 5, 2), "~na~")</f>
        <v>ll</v>
      </c>
      <c r="Q29" s="1" t="str">
        <f>IF(Table1[[#This Row],[sut-platform]]="cfa", MID(Table1[[#This Row],[sut]], 8, 999), Table1[[#This Row],[sut-cfa-level]])</f>
        <v>share-na</v>
      </c>
      <c r="R29" s="1" t="str">
        <f>IF(Table1[[#This Row],[sut-platform]]="cfa", LEFT(Table1[[#This Row],[suffix-cfa-sharing-alloc]], FIND("-",Table1[[#This Row],[suffix-cfa-sharing-alloc]])-1), "~na~")</f>
        <v>share</v>
      </c>
      <c r="S29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T29" s="1" t="str">
        <f>MID(Table1[[#This Row],[corpus]], LEN("corpus-")+1, 999)</f>
        <v>1-500-1.txt</v>
      </c>
      <c r="U29" s="1" t="str">
        <f>LEFT(Table1[[#This Row],[corpus-varsuffix]], FIND(".txt", Table1[[#This Row],[corpus-varsuffix]])-1)</f>
        <v>1-500-1</v>
      </c>
      <c r="V29" s="1">
        <f>INT(LEFT(Table1[[#This Row],[corpus-allvar]], FIND("-", Table1[[#This Row],[corpus-varsuffix]])-1))</f>
        <v>1</v>
      </c>
      <c r="W29" s="1" t="str">
        <f>MID(Table1[[#This Row],[corpus-allvar]], LEN(Table1[[#This Row],[corpus-nstrs]])+2, 999)</f>
        <v>500-1</v>
      </c>
      <c r="X29" s="1">
        <f>INT(LEFT(Table1[[#This Row],[corpus-varsuffix2]], FIND("-", Table1[[#This Row],[corpus-varsuffix2]])-1))</f>
        <v>500</v>
      </c>
      <c r="Y29" s="1">
        <f>INT(MID(Table1[[#This Row],[corpus-varsuffix2]], LEN(Table1[[#This Row],[corpus-meanlen]])+2, 999))</f>
        <v>1</v>
      </c>
      <c r="Z29" s="4">
        <f>Table1[[#This Row],[concatDoneActualCount]]/Table1[[#This Row],[execTimeActualSec]]</f>
        <v>11204216.825243916</v>
      </c>
      <c r="AA29" s="4">
        <f>CONVERT(Table1[[#This Row],[execTimeActualSec]]/Table1[[#This Row],[concatDoneActualCount]], "s", "ns")</f>
        <v>89.252110664881741</v>
      </c>
      <c r="AB29" s="1" t="str">
        <f>Table1[[#This Row],[corpus-meanlen]]&amp;"-"&amp;Table1[[#This Row],[heapGrowThreshold]]</f>
        <v>500-0.2</v>
      </c>
      <c r="AC29" s="1">
        <f>INDEX(importmem[seclast_req_mem], MATCH(Table1[[#This Row],[memrowid]], importmem[rowid], 0))</f>
        <v>4107966</v>
      </c>
      <c r="AD29" s="1" t="str">
        <f>IF(Table1[[#This Row],[corpusMeanLenChars]]=20, Table1[[#This Row],[mem-amt]], "")</f>
        <v/>
      </c>
      <c r="AE29" s="1" t="str">
        <f>IF(Table1[[#This Row],[corpusMeanLenChars]]=50, Table1[[#This Row],[mem-amt]], "")</f>
        <v/>
      </c>
      <c r="AF29" s="1" t="str">
        <f>IF(Table1[[#This Row],[corpusMeanLenChars]]=100, Table1[[#This Row],[mem-amt]], "")</f>
        <v/>
      </c>
      <c r="AG29" s="1" t="str">
        <f>IF(Table1[[#This Row],[corpusMeanLenChars]]=200, Table1[[#This Row],[mem-amt]], "")</f>
        <v/>
      </c>
      <c r="AH29" s="1">
        <f>IF(Table1[[#This Row],[corpusMeanLenChars]]=500, Table1[[#This Row],[mem-amt]], "")</f>
        <v>4107966</v>
      </c>
    </row>
    <row r="30" spans="1:34" x14ac:dyDescent="0.25">
      <c r="A30" s="1" t="s">
        <v>70</v>
      </c>
      <c r="B30" s="1" t="str">
        <f>Table1[[#This Row],[test]]&amp;"@"&amp;Table1[[#This Row],[corpus]]</f>
        <v>perfexp-cfa-pal-ll-share-na@corpus-1-500-1.txt</v>
      </c>
      <c r="C30" s="5" t="s">
        <v>66</v>
      </c>
      <c r="D30" s="5" t="s">
        <v>62</v>
      </c>
      <c r="E30" s="5">
        <v>0.5</v>
      </c>
      <c r="F30" s="5" t="s">
        <v>45</v>
      </c>
      <c r="G30" s="5">
        <v>1</v>
      </c>
      <c r="H30" s="5">
        <v>500</v>
      </c>
      <c r="I30" s="29">
        <v>113270000</v>
      </c>
      <c r="J30" s="33">
        <v>10.0001</v>
      </c>
      <c r="K30" s="40" t="str">
        <f>MID(Table1[[#This Row],[test]], LEN("perfexp-")+1, 9999)</f>
        <v>cfa-pal-ll-share-na</v>
      </c>
      <c r="L30">
        <f>FIND("-p", Table1[[#This Row],[test-allvar]])+LEN("-")</f>
        <v>5</v>
      </c>
      <c r="M30" t="str">
        <f>MID(Table1[[#This Row],[test-allvar]], Table1[[#This Row],[operation-idx]], LEN("pta"))</f>
        <v>pal</v>
      </c>
      <c r="N30" s="1" t="str">
        <f>LEFT(Table1[[#This Row],[test-allvar]], Table1[[#This Row],[operation-idx]]-LEN("-")-1) &amp; MID(Table1[[#This Row],[test-allvar]], Table1[[#This Row],[operation-idx]]+LEN(Table1[[#This Row],[operation]]), 9999)</f>
        <v>cfa-ll-share-na</v>
      </c>
      <c r="O30" s="1" t="str">
        <f>IFERROR( LEFT(Table1[[#This Row],[sut]], FIND("-", Table1[[#This Row],[sut]])-1), Table1[[#This Row],[sut]])</f>
        <v>cfa</v>
      </c>
      <c r="P30" s="1" t="str">
        <f>IF(Table1[[#This Row],[sut-platform]]="cfa", MID(Table1[[#This Row],[sut]], 5, 2), "~na~")</f>
        <v>ll</v>
      </c>
      <c r="Q30" s="1" t="str">
        <f>IF(Table1[[#This Row],[sut-platform]]="cfa", MID(Table1[[#This Row],[sut]], 8, 999), Table1[[#This Row],[sut-cfa-level]])</f>
        <v>share-na</v>
      </c>
      <c r="R30" s="1" t="str">
        <f>IF(Table1[[#This Row],[sut-platform]]="cfa", LEFT(Table1[[#This Row],[suffix-cfa-sharing-alloc]], FIND("-",Table1[[#This Row],[suffix-cfa-sharing-alloc]])-1), "~na~")</f>
        <v>share</v>
      </c>
      <c r="S30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T30" s="1" t="str">
        <f>MID(Table1[[#This Row],[corpus]], LEN("corpus-")+1, 999)</f>
        <v>1-500-1.txt</v>
      </c>
      <c r="U30" s="1" t="str">
        <f>LEFT(Table1[[#This Row],[corpus-varsuffix]], FIND(".txt", Table1[[#This Row],[corpus-varsuffix]])-1)</f>
        <v>1-500-1</v>
      </c>
      <c r="V30" s="1">
        <f>INT(LEFT(Table1[[#This Row],[corpus-allvar]], FIND("-", Table1[[#This Row],[corpus-varsuffix]])-1))</f>
        <v>1</v>
      </c>
      <c r="W30" s="1" t="str">
        <f>MID(Table1[[#This Row],[corpus-allvar]], LEN(Table1[[#This Row],[corpus-nstrs]])+2, 999)</f>
        <v>500-1</v>
      </c>
      <c r="X30" s="1">
        <f>INT(LEFT(Table1[[#This Row],[corpus-varsuffix2]], FIND("-", Table1[[#This Row],[corpus-varsuffix2]])-1))</f>
        <v>500</v>
      </c>
      <c r="Y30" s="1">
        <f>INT(MID(Table1[[#This Row],[corpus-varsuffix2]], LEN(Table1[[#This Row],[corpus-meanlen]])+2, 999))</f>
        <v>1</v>
      </c>
      <c r="Z30" s="4">
        <f>Table1[[#This Row],[concatDoneActualCount]]/Table1[[#This Row],[execTimeActualSec]]</f>
        <v>11326886.73113269</v>
      </c>
      <c r="AA30" s="4">
        <f>CONVERT(Table1[[#This Row],[execTimeActualSec]]/Table1[[#This Row],[concatDoneActualCount]], "s", "ns")</f>
        <v>88.285512492275089</v>
      </c>
      <c r="AB30" s="1" t="str">
        <f>Table1[[#This Row],[corpus-meanlen]]&amp;"-"&amp;Table1[[#This Row],[heapGrowThreshold]]</f>
        <v>500-0.5</v>
      </c>
      <c r="AC30" s="1">
        <f>INDEX(importmem[seclast_req_mem], MATCH(Table1[[#This Row],[memrowid]], importmem[rowid], 0))</f>
        <v>1035966</v>
      </c>
      <c r="AD30" s="1" t="str">
        <f>IF(Table1[[#This Row],[corpusMeanLenChars]]=20, Table1[[#This Row],[mem-amt]], "")</f>
        <v/>
      </c>
      <c r="AE30" s="1" t="str">
        <f>IF(Table1[[#This Row],[corpusMeanLenChars]]=50, Table1[[#This Row],[mem-amt]], "")</f>
        <v/>
      </c>
      <c r="AF30" s="1" t="str">
        <f>IF(Table1[[#This Row],[corpusMeanLenChars]]=100, Table1[[#This Row],[mem-amt]], "")</f>
        <v/>
      </c>
      <c r="AG30" s="1" t="str">
        <f>IF(Table1[[#This Row],[corpusMeanLenChars]]=200, Table1[[#This Row],[mem-amt]], "")</f>
        <v/>
      </c>
      <c r="AH30" s="1">
        <f>IF(Table1[[#This Row],[corpusMeanLenChars]]=500, Table1[[#This Row],[mem-amt]], "")</f>
        <v>1035966</v>
      </c>
    </row>
    <row r="31" spans="1:34" x14ac:dyDescent="0.25">
      <c r="A31" s="1" t="s">
        <v>70</v>
      </c>
      <c r="B31" s="1" t="str">
        <f>Table1[[#This Row],[test]]&amp;"@"&amp;Table1[[#This Row],[corpus]]</f>
        <v>perfexp-cfa-pal-ll-share-na@corpus-1-500-1.txt</v>
      </c>
      <c r="C31" s="14" t="s">
        <v>66</v>
      </c>
      <c r="D31" s="38" t="s">
        <v>62</v>
      </c>
      <c r="E31" s="38">
        <v>0.9</v>
      </c>
      <c r="F31" s="14" t="s">
        <v>45</v>
      </c>
      <c r="G31" s="14">
        <v>1</v>
      </c>
      <c r="H31" s="14">
        <v>500</v>
      </c>
      <c r="I31" s="39">
        <v>113650000</v>
      </c>
      <c r="J31" s="37">
        <v>10.000819</v>
      </c>
      <c r="K31" s="40" t="str">
        <f>MID(Table1[[#This Row],[test]], LEN("perfexp-")+1, 9999)</f>
        <v>cfa-pal-ll-share-na</v>
      </c>
      <c r="L31">
        <f>FIND("-p", Table1[[#This Row],[test-allvar]])+LEN("-")</f>
        <v>5</v>
      </c>
      <c r="M31" t="str">
        <f>MID(Table1[[#This Row],[test-allvar]], Table1[[#This Row],[operation-idx]], LEN("pta"))</f>
        <v>pal</v>
      </c>
      <c r="N31" s="1" t="str">
        <f>LEFT(Table1[[#This Row],[test-allvar]], Table1[[#This Row],[operation-idx]]-LEN("-")-1) &amp; MID(Table1[[#This Row],[test-allvar]], Table1[[#This Row],[operation-idx]]+LEN(Table1[[#This Row],[operation]]), 9999)</f>
        <v>cfa-ll-share-na</v>
      </c>
      <c r="O31" s="1" t="str">
        <f>IFERROR( LEFT(Table1[[#This Row],[sut]], FIND("-", Table1[[#This Row],[sut]])-1), Table1[[#This Row],[sut]])</f>
        <v>cfa</v>
      </c>
      <c r="P31" s="1" t="str">
        <f>IF(Table1[[#This Row],[sut-platform]]="cfa", MID(Table1[[#This Row],[sut]], 5, 2), "~na~")</f>
        <v>ll</v>
      </c>
      <c r="Q31" s="1" t="str">
        <f>IF(Table1[[#This Row],[sut-platform]]="cfa", MID(Table1[[#This Row],[sut]], 8, 999), Table1[[#This Row],[sut-cfa-level]])</f>
        <v>share-na</v>
      </c>
      <c r="R31" s="1" t="str">
        <f>IF(Table1[[#This Row],[sut-platform]]="cfa", LEFT(Table1[[#This Row],[suffix-cfa-sharing-alloc]], FIND("-",Table1[[#This Row],[suffix-cfa-sharing-alloc]])-1), "~na~")</f>
        <v>share</v>
      </c>
      <c r="S31" s="1" t="str">
        <f>RIGHT(Table1[[#This Row],[test-allvar]],LEN(Table1[[#This Row],[test-allvar]])-FIND("@",SUBSTITUTE(Table1[[#This Row],[test-allvar]],"-","@",LEN(Table1[[#This Row],[test-allvar]])-LEN(SUBSTITUTE(Table1[[#This Row],[test-allvar]],"-",""))),1))</f>
        <v>na</v>
      </c>
      <c r="T31" s="1" t="str">
        <f>MID(Table1[[#This Row],[corpus]], LEN("corpus-")+1, 999)</f>
        <v>1-500-1.txt</v>
      </c>
      <c r="U31" s="1" t="str">
        <f>LEFT(Table1[[#This Row],[corpus-varsuffix]], FIND(".txt", Table1[[#This Row],[corpus-varsuffix]])-1)</f>
        <v>1-500-1</v>
      </c>
      <c r="V31" s="1">
        <f>INT(LEFT(Table1[[#This Row],[corpus-allvar]], FIND("-", Table1[[#This Row],[corpus-varsuffix]])-1))</f>
        <v>1</v>
      </c>
      <c r="W31" s="1" t="str">
        <f>MID(Table1[[#This Row],[corpus-allvar]], LEN(Table1[[#This Row],[corpus-nstrs]])+2, 999)</f>
        <v>500-1</v>
      </c>
      <c r="X31" s="1">
        <f>INT(LEFT(Table1[[#This Row],[corpus-varsuffix2]], FIND("-", Table1[[#This Row],[corpus-varsuffix2]])-1))</f>
        <v>500</v>
      </c>
      <c r="Y31" s="1">
        <f>INT(MID(Table1[[#This Row],[corpus-varsuffix2]], LEN(Table1[[#This Row],[corpus-meanlen]])+2, 999))</f>
        <v>1</v>
      </c>
      <c r="Z31" s="4">
        <f>Table1[[#This Row],[concatDoneActualCount]]/Table1[[#This Row],[execTimeActualSec]]</f>
        <v>11364069.282725744</v>
      </c>
      <c r="AA31" s="4">
        <f>CONVERT(Table1[[#This Row],[execTimeActualSec]]/Table1[[#This Row],[concatDoneActualCount]], "s", "ns")</f>
        <v>87.996647602287723</v>
      </c>
      <c r="AB31" s="1" t="str">
        <f>Table1[[#This Row],[corpus-meanlen]]&amp;"-"&amp;Table1[[#This Row],[heapGrowThreshold]]</f>
        <v>500-0.9</v>
      </c>
      <c r="AC31" s="1">
        <f>INDEX(importmem[seclast_req_mem], MATCH(Table1[[#This Row],[memrowid]], importmem[rowid], 0))</f>
        <v>1035966</v>
      </c>
      <c r="AD31" s="1" t="str">
        <f>IF(Table1[[#This Row],[corpusMeanLenChars]]=20, Table1[[#This Row],[mem-amt]], "")</f>
        <v/>
      </c>
      <c r="AE31" s="1" t="str">
        <f>IF(Table1[[#This Row],[corpusMeanLenChars]]=50, Table1[[#This Row],[mem-amt]], "")</f>
        <v/>
      </c>
      <c r="AF31" s="1" t="str">
        <f>IF(Table1[[#This Row],[corpusMeanLenChars]]=100, Table1[[#This Row],[mem-amt]], "")</f>
        <v/>
      </c>
      <c r="AG31" s="1" t="str">
        <f>IF(Table1[[#This Row],[corpusMeanLenChars]]=200, Table1[[#This Row],[mem-amt]], "")</f>
        <v/>
      </c>
      <c r="AH31" s="1">
        <f>IF(Table1[[#This Row],[corpusMeanLenChars]]=500, Table1[[#This Row],[mem-amt]], "")</f>
        <v>1035966</v>
      </c>
    </row>
    <row r="36" spans="27:27" x14ac:dyDescent="0.25">
      <c r="AA36" t="e">
        <f>Table1[op-duration],2:7</f>
        <v>#VALUE!</v>
      </c>
    </row>
  </sheetData>
  <phoneticPr fontId="1" type="noConversion"/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1F558C-1D9F-4946-AAB3-0D013E32E51A}">
  <dimension ref="A1:AH37"/>
  <sheetViews>
    <sheetView topLeftCell="I1" zoomScale="85" zoomScaleNormal="85" workbookViewId="0">
      <selection activeCell="X1" sqref="X1"/>
    </sheetView>
  </sheetViews>
  <sheetFormatPr defaultRowHeight="15" outlineLevelCol="1" x14ac:dyDescent="0.25"/>
  <cols>
    <col min="2" max="2" width="10.85546875" customWidth="1"/>
    <col min="3" max="3" width="32.140625" style="5" bestFit="1" customWidth="1"/>
    <col min="4" max="4" width="20.28515625" style="5" bestFit="1" customWidth="1"/>
    <col min="5" max="8" width="10.5703125" style="5" customWidth="1"/>
    <col min="9" max="9" width="15.140625" style="29" customWidth="1"/>
    <col min="10" max="10" width="15.140625" style="34" customWidth="1"/>
    <col min="11" max="11" width="9.140625" customWidth="1"/>
    <col min="13" max="13" width="19.85546875" bestFit="1" customWidth="1"/>
    <col min="16" max="16" width="0" hidden="1" customWidth="1" outlineLevel="1"/>
    <col min="17" max="17" width="9.140625" customWidth="1" collapsed="1"/>
    <col min="18" max="18" width="9.140625" customWidth="1"/>
    <col min="19" max="20" width="9.140625" hidden="1" customWidth="1" outlineLevel="1"/>
    <col min="21" max="21" width="9.140625" customWidth="1" collapsed="1"/>
    <col min="22" max="22" width="0" hidden="1" customWidth="1" outlineLevel="1"/>
    <col min="23" max="23" width="9.140625" collapsed="1"/>
    <col min="25" max="25" width="11.5703125" style="4" bestFit="1" customWidth="1"/>
    <col min="26" max="26" width="12" style="4" bestFit="1" customWidth="1"/>
  </cols>
  <sheetData>
    <row r="1" spans="1:34" x14ac:dyDescent="0.25">
      <c r="A1" t="s">
        <v>17</v>
      </c>
      <c r="B1" t="s">
        <v>31</v>
      </c>
      <c r="C1" s="6" t="s">
        <v>0</v>
      </c>
      <c r="D1" s="6" t="s">
        <v>1</v>
      </c>
      <c r="E1" s="6" t="s">
        <v>68</v>
      </c>
      <c r="F1" s="6" t="s">
        <v>18</v>
      </c>
      <c r="G1" s="6" t="s">
        <v>30</v>
      </c>
      <c r="H1" s="6" t="s">
        <v>20</v>
      </c>
      <c r="I1" s="28" t="s">
        <v>21</v>
      </c>
      <c r="J1" s="32" t="s">
        <v>19</v>
      </c>
      <c r="K1" t="s">
        <v>2</v>
      </c>
      <c r="L1" t="s">
        <v>3</v>
      </c>
      <c r="M1" t="s">
        <v>4</v>
      </c>
      <c r="N1" t="s">
        <v>5</v>
      </c>
      <c r="O1" t="s">
        <v>6</v>
      </c>
      <c r="P1" t="s">
        <v>7</v>
      </c>
      <c r="Q1" t="s">
        <v>38</v>
      </c>
      <c r="R1" t="s">
        <v>8</v>
      </c>
      <c r="S1" t="s">
        <v>39</v>
      </c>
      <c r="T1" t="s">
        <v>10</v>
      </c>
      <c r="U1" t="s">
        <v>9</v>
      </c>
      <c r="V1" t="s">
        <v>11</v>
      </c>
      <c r="W1" t="s">
        <v>12</v>
      </c>
      <c r="X1" t="s">
        <v>13</v>
      </c>
      <c r="Y1" t="s">
        <v>14</v>
      </c>
      <c r="Z1" s="4" t="s">
        <v>22</v>
      </c>
      <c r="AA1" s="4" t="s">
        <v>23</v>
      </c>
      <c r="AB1" t="s">
        <v>78</v>
      </c>
      <c r="AC1" t="s">
        <v>79</v>
      </c>
      <c r="AD1" t="s">
        <v>80</v>
      </c>
      <c r="AE1" t="s">
        <v>81</v>
      </c>
      <c r="AF1" t="s">
        <v>82</v>
      </c>
      <c r="AG1" t="s">
        <v>83</v>
      </c>
      <c r="AH1" t="s">
        <v>84</v>
      </c>
    </row>
    <row r="2" spans="1:34" x14ac:dyDescent="0.25">
      <c r="A2" s="1" t="s">
        <v>70</v>
      </c>
      <c r="B2" s="1" t="str">
        <f>Table15[[#This Row],[test]]&amp;"@"&amp;Table15[[#This Row],[corpus]]</f>
        <v>perfexp-cfa-pal-ll-share-na@corpus-1-20-1.txt</v>
      </c>
      <c r="C2" s="5" t="s">
        <v>66</v>
      </c>
      <c r="D2" s="5" t="s">
        <v>58</v>
      </c>
      <c r="E2" s="5">
        <v>0.02</v>
      </c>
      <c r="F2" s="5" t="s">
        <v>45</v>
      </c>
      <c r="G2" s="5">
        <v>1</v>
      </c>
      <c r="H2" s="5">
        <v>20</v>
      </c>
      <c r="I2" s="29">
        <v>266750000</v>
      </c>
      <c r="J2" s="33">
        <v>10.000344999999999</v>
      </c>
      <c r="K2" t="str">
        <f>MID(Table15[[#This Row],[test]], LEN("perfexp-")+1, 9999)</f>
        <v>cfa-pal-ll-share-na</v>
      </c>
      <c r="L2">
        <f>FIND("-p", Table15[[#This Row],[test-allvar]])+LEN("-")</f>
        <v>5</v>
      </c>
      <c r="M2" t="str">
        <f>MID(Table15[[#This Row],[test-allvar]], Table15[[#This Row],[operation-idx]], LEN("pta"))</f>
        <v>pal</v>
      </c>
      <c r="N2" s="1" t="str">
        <f>LEFT(Table15[[#This Row],[test-allvar]], Table15[[#This Row],[operation-idx]]-LEN("-")-1) &amp; MID(Table15[[#This Row],[test-allvar]], Table15[[#This Row],[operation-idx]]+LEN(Table15[[#This Row],[operation]]), 9999)</f>
        <v>cfa-ll-share-na</v>
      </c>
      <c r="O2" s="1" t="str">
        <f>IFERROR( LEFT(Table15[[#This Row],[sut]], FIND("-", Table15[[#This Row],[sut]])-1), Table15[[#This Row],[sut]])</f>
        <v>cfa</v>
      </c>
      <c r="P2" s="1" t="str">
        <f>IF(Table15[[#This Row],[sut-platform]]="cfa", MID(Table15[[#This Row],[sut]], 5, 2), "~na~")</f>
        <v>ll</v>
      </c>
      <c r="Q2" s="1" t="str">
        <f>IF(Table15[[#This Row],[sut-platform]]="cfa", MID(Table15[[#This Row],[sut]], 8, 999), Table15[[#This Row],[sut-cfa-level]])</f>
        <v>share-na</v>
      </c>
      <c r="R2" s="1" t="str">
        <f>IF(Table15[[#This Row],[sut-platform]]="cfa", LEFT(Table15[[#This Row],[suffix-cfa-sharing-alloc]], FIND("-",Table15[[#This Row],[suffix-cfa-sharing-alloc]])-1), "~na~")</f>
        <v>share</v>
      </c>
      <c r="S2" s="1" t="str">
        <f>RIGHT(Table15[[#This Row],[test-allvar]],LEN(Table15[[#This Row],[test-allvar]])-FIND("@",SUBSTITUTE(Table15[[#This Row],[test-allvar]],"-","@",LEN(Table15[[#This Row],[test-allvar]])-LEN(SUBSTITUTE(Table15[[#This Row],[test-allvar]],"-",""))),1))</f>
        <v>na</v>
      </c>
      <c r="T2" s="1" t="str">
        <f>MID(Table15[[#This Row],[corpus]], LEN("corpus-")+1, 999)</f>
        <v>1-20-1.txt</v>
      </c>
      <c r="U2" s="1" t="str">
        <f>LEFT(Table15[[#This Row],[corpus-varsuffix]], FIND(".txt", Table15[[#This Row],[corpus-varsuffix]])-1)</f>
        <v>1-20-1</v>
      </c>
      <c r="V2" s="1">
        <f>INT(LEFT(Table15[[#This Row],[corpus-allvar]], FIND("-", Table15[[#This Row],[corpus-varsuffix]])-1))</f>
        <v>1</v>
      </c>
      <c r="W2" s="1" t="str">
        <f>MID(Table15[[#This Row],[corpus-allvar]], LEN(Table15[[#This Row],[corpus-nstrs]])+2, 999)</f>
        <v>20-1</v>
      </c>
      <c r="X2" s="1">
        <f>INT(LEFT(Table15[[#This Row],[corpus-varsuffix2]], FIND("-", Table15[[#This Row],[corpus-varsuffix2]])-1))</f>
        <v>20</v>
      </c>
      <c r="Y2" s="1">
        <f>INT(MID(Table15[[#This Row],[corpus-varsuffix2]], LEN(Table15[[#This Row],[corpus-meanlen]])+2, 999))</f>
        <v>1</v>
      </c>
      <c r="Z2" s="4">
        <f>Table15[[#This Row],[concatDoneActualCount]]/Table15[[#This Row],[execTimeActualSec]]</f>
        <v>26674079.744248826</v>
      </c>
      <c r="AA2" s="4">
        <f>CONVERT(Table15[[#This Row],[execTimeActualSec]]/Table15[[#This Row],[concatDoneActualCount]], "s", "ns")</f>
        <v>37.489578256794751</v>
      </c>
      <c r="AB2" s="1" t="str">
        <f>Table15[[#This Row],[corpus-meanlen]]&amp;"-"&amp;Table15[[#This Row],[heapGrowThreshold]]</f>
        <v>20-0.02</v>
      </c>
      <c r="AC2" s="1">
        <f>INDEX(importmem[seclast_req_mem], MATCH(Table15[[#This Row],[memrowid]], importmem[rowid], 0))</f>
        <v>1035966</v>
      </c>
      <c r="AD2" s="1">
        <f>IF(Table15[[#This Row],[corpusMeanLenChars]]=20, Table15[[#This Row],[mem-amt]], "")</f>
        <v>1035966</v>
      </c>
      <c r="AE2" s="1" t="str">
        <f>IF(Table15[[#This Row],[corpusMeanLenChars]]=50, Table15[[#This Row],[mem-amt]], "")</f>
        <v/>
      </c>
      <c r="AF2" s="1" t="str">
        <f>IF(Table15[[#This Row],[corpusMeanLenChars]]=100, Table15[[#This Row],[mem-amt]], "")</f>
        <v/>
      </c>
      <c r="AG2" s="1" t="str">
        <f>IF(Table15[[#This Row],[corpusMeanLenChars]]=200, Table15[[#This Row],[mem-amt]], "")</f>
        <v/>
      </c>
      <c r="AH2" s="1" t="str">
        <f>IF(Table15[[#This Row],[corpusMeanLenChars]]=500, Table15[[#This Row],[mem-amt]], "")</f>
        <v/>
      </c>
    </row>
    <row r="3" spans="1:34" x14ac:dyDescent="0.25">
      <c r="A3" s="1" t="s">
        <v>70</v>
      </c>
      <c r="B3" s="1" t="str">
        <f>Table15[[#This Row],[test]]&amp;"@"&amp;Table15[[#This Row],[corpus]]</f>
        <v>perfexp-cfa-pal-ll-share-na@corpus-1-20-1.txt</v>
      </c>
      <c r="C3" s="5" t="s">
        <v>66</v>
      </c>
      <c r="D3" s="5" t="s">
        <v>58</v>
      </c>
      <c r="E3" s="5">
        <v>0.05</v>
      </c>
      <c r="F3" s="5" t="s">
        <v>45</v>
      </c>
      <c r="G3" s="5">
        <v>1</v>
      </c>
      <c r="H3" s="5">
        <v>20</v>
      </c>
      <c r="I3" s="29">
        <v>266150000</v>
      </c>
      <c r="J3" s="33">
        <v>10.000287999999999</v>
      </c>
      <c r="K3" t="str">
        <f>MID(Table15[[#This Row],[test]], LEN("perfexp-")+1, 9999)</f>
        <v>cfa-pal-ll-share-na</v>
      </c>
      <c r="L3">
        <f>FIND("-p", Table15[[#This Row],[test-allvar]])+LEN("-")</f>
        <v>5</v>
      </c>
      <c r="M3" t="str">
        <f>MID(Table15[[#This Row],[test-allvar]], Table15[[#This Row],[operation-idx]], LEN("pta"))</f>
        <v>pal</v>
      </c>
      <c r="N3" s="1" t="str">
        <f>LEFT(Table15[[#This Row],[test-allvar]], Table15[[#This Row],[operation-idx]]-LEN("-")-1) &amp; MID(Table15[[#This Row],[test-allvar]], Table15[[#This Row],[operation-idx]]+LEN(Table15[[#This Row],[operation]]), 9999)</f>
        <v>cfa-ll-share-na</v>
      </c>
      <c r="O3" s="1" t="str">
        <f>IFERROR( LEFT(Table15[[#This Row],[sut]], FIND("-", Table15[[#This Row],[sut]])-1), Table15[[#This Row],[sut]])</f>
        <v>cfa</v>
      </c>
      <c r="P3" s="1" t="str">
        <f>IF(Table15[[#This Row],[sut-platform]]="cfa", MID(Table15[[#This Row],[sut]], 5, 2), "~na~")</f>
        <v>ll</v>
      </c>
      <c r="Q3" s="1" t="str">
        <f>IF(Table15[[#This Row],[sut-platform]]="cfa", MID(Table15[[#This Row],[sut]], 8, 999), Table15[[#This Row],[sut-cfa-level]])</f>
        <v>share-na</v>
      </c>
      <c r="R3" s="1" t="str">
        <f>IF(Table15[[#This Row],[sut-platform]]="cfa", LEFT(Table15[[#This Row],[suffix-cfa-sharing-alloc]], FIND("-",Table15[[#This Row],[suffix-cfa-sharing-alloc]])-1), "~na~")</f>
        <v>share</v>
      </c>
      <c r="S3" s="1" t="str">
        <f>RIGHT(Table15[[#This Row],[test-allvar]],LEN(Table15[[#This Row],[test-allvar]])-FIND("@",SUBSTITUTE(Table15[[#This Row],[test-allvar]],"-","@",LEN(Table15[[#This Row],[test-allvar]])-LEN(SUBSTITUTE(Table15[[#This Row],[test-allvar]],"-",""))),1))</f>
        <v>na</v>
      </c>
      <c r="T3" s="1" t="str">
        <f>MID(Table15[[#This Row],[corpus]], LEN("corpus-")+1, 999)</f>
        <v>1-20-1.txt</v>
      </c>
      <c r="U3" s="1" t="str">
        <f>LEFT(Table15[[#This Row],[corpus-varsuffix]], FIND(".txt", Table15[[#This Row],[corpus-varsuffix]])-1)</f>
        <v>1-20-1</v>
      </c>
      <c r="V3" s="1">
        <f>INT(LEFT(Table15[[#This Row],[corpus-allvar]], FIND("-", Table15[[#This Row],[corpus-varsuffix]])-1))</f>
        <v>1</v>
      </c>
      <c r="W3" s="1" t="str">
        <f>MID(Table15[[#This Row],[corpus-allvar]], LEN(Table15[[#This Row],[corpus-nstrs]])+2, 999)</f>
        <v>20-1</v>
      </c>
      <c r="X3" s="1">
        <f>INT(LEFT(Table15[[#This Row],[corpus-varsuffix2]], FIND("-", Table15[[#This Row],[corpus-varsuffix2]])-1))</f>
        <v>20</v>
      </c>
      <c r="Y3" s="1">
        <f>INT(MID(Table15[[#This Row],[corpus-varsuffix2]], LEN(Table15[[#This Row],[corpus-meanlen]])+2, 999))</f>
        <v>1</v>
      </c>
      <c r="Z3" s="4">
        <f>Table15[[#This Row],[concatDoneActualCount]]/Table15[[#This Row],[execTimeActualSec]]</f>
        <v>26614233.51007491</v>
      </c>
      <c r="AA3" s="4">
        <f>CONVERT(Table15[[#This Row],[execTimeActualSec]]/Table15[[#This Row],[concatDoneActualCount]], "s", "ns")</f>
        <v>37.573879391320681</v>
      </c>
      <c r="AB3" s="1" t="str">
        <f>Table15[[#This Row],[corpus-meanlen]]&amp;"-"&amp;Table15[[#This Row],[heapGrowThreshold]]</f>
        <v>20-0.05</v>
      </c>
      <c r="AC3" s="1">
        <f>INDEX(importmem[seclast_req_mem], MATCH(Table15[[#This Row],[memrowid]], importmem[rowid], 0))</f>
        <v>523966</v>
      </c>
      <c r="AD3" s="1">
        <f>IF(Table15[[#This Row],[corpusMeanLenChars]]=20, Table15[[#This Row],[mem-amt]], "")</f>
        <v>523966</v>
      </c>
      <c r="AE3" s="1" t="str">
        <f>IF(Table15[[#This Row],[corpusMeanLenChars]]=50, Table15[[#This Row],[mem-amt]], "")</f>
        <v/>
      </c>
      <c r="AF3" s="1" t="str">
        <f>IF(Table15[[#This Row],[corpusMeanLenChars]]=100, Table15[[#This Row],[mem-amt]], "")</f>
        <v/>
      </c>
      <c r="AG3" s="1" t="str">
        <f>IF(Table15[[#This Row],[corpusMeanLenChars]]=200, Table15[[#This Row],[mem-amt]], "")</f>
        <v/>
      </c>
      <c r="AH3" s="1" t="str">
        <f>IF(Table15[[#This Row],[corpusMeanLenChars]]=500, Table15[[#This Row],[mem-amt]], "")</f>
        <v/>
      </c>
    </row>
    <row r="4" spans="1:34" x14ac:dyDescent="0.25">
      <c r="A4" s="1" t="s">
        <v>70</v>
      </c>
      <c r="B4" s="1" t="str">
        <f>Table15[[#This Row],[test]]&amp;"@"&amp;Table15[[#This Row],[corpus]]</f>
        <v>perfexp-cfa-pal-ll-share-na@corpus-1-20-1.txt</v>
      </c>
      <c r="C4" s="5" t="s">
        <v>66</v>
      </c>
      <c r="D4" s="27" t="s">
        <v>58</v>
      </c>
      <c r="E4" s="27">
        <v>0.1</v>
      </c>
      <c r="F4" s="5" t="s">
        <v>45</v>
      </c>
      <c r="G4" s="5">
        <v>1</v>
      </c>
      <c r="H4" s="5">
        <v>20</v>
      </c>
      <c r="I4" s="30">
        <v>261320000</v>
      </c>
      <c r="J4" s="33">
        <v>10.000342</v>
      </c>
      <c r="K4" t="str">
        <f>MID(Table15[[#This Row],[test]], LEN("perfexp-")+1, 9999)</f>
        <v>cfa-pal-ll-share-na</v>
      </c>
      <c r="L4">
        <f>FIND("-p", Table15[[#This Row],[test-allvar]])+LEN("-")</f>
        <v>5</v>
      </c>
      <c r="M4" t="str">
        <f>MID(Table15[[#This Row],[test-allvar]], Table15[[#This Row],[operation-idx]], LEN("pta"))</f>
        <v>pal</v>
      </c>
      <c r="N4" s="1" t="str">
        <f>LEFT(Table15[[#This Row],[test-allvar]], Table15[[#This Row],[operation-idx]]-LEN("-")-1) &amp; MID(Table15[[#This Row],[test-allvar]], Table15[[#This Row],[operation-idx]]+LEN(Table15[[#This Row],[operation]]), 9999)</f>
        <v>cfa-ll-share-na</v>
      </c>
      <c r="O4" s="1" t="str">
        <f>IFERROR( LEFT(Table15[[#This Row],[sut]], FIND("-", Table15[[#This Row],[sut]])-1), Table15[[#This Row],[sut]])</f>
        <v>cfa</v>
      </c>
      <c r="P4" s="1" t="str">
        <f>IF(Table15[[#This Row],[sut-platform]]="cfa", MID(Table15[[#This Row],[sut]], 5, 2), "~na~")</f>
        <v>ll</v>
      </c>
      <c r="Q4" s="1" t="str">
        <f>IF(Table15[[#This Row],[sut-platform]]="cfa", MID(Table15[[#This Row],[sut]], 8, 999), Table15[[#This Row],[sut-cfa-level]])</f>
        <v>share-na</v>
      </c>
      <c r="R4" s="1" t="str">
        <f>IF(Table15[[#This Row],[sut-platform]]="cfa", LEFT(Table15[[#This Row],[suffix-cfa-sharing-alloc]], FIND("-",Table15[[#This Row],[suffix-cfa-sharing-alloc]])-1), "~na~")</f>
        <v>share</v>
      </c>
      <c r="S4" s="1" t="str">
        <f>RIGHT(Table15[[#This Row],[test-allvar]],LEN(Table15[[#This Row],[test-allvar]])-FIND("@",SUBSTITUTE(Table15[[#This Row],[test-allvar]],"-","@",LEN(Table15[[#This Row],[test-allvar]])-LEN(SUBSTITUTE(Table15[[#This Row],[test-allvar]],"-",""))),1))</f>
        <v>na</v>
      </c>
      <c r="T4" s="1" t="str">
        <f>MID(Table15[[#This Row],[corpus]], LEN("corpus-")+1, 999)</f>
        <v>1-20-1.txt</v>
      </c>
      <c r="U4" s="1" t="str">
        <f>LEFT(Table15[[#This Row],[corpus-varsuffix]], FIND(".txt", Table15[[#This Row],[corpus-varsuffix]])-1)</f>
        <v>1-20-1</v>
      </c>
      <c r="V4" s="1">
        <f>INT(LEFT(Table15[[#This Row],[corpus-allvar]], FIND("-", Table15[[#This Row],[corpus-varsuffix]])-1))</f>
        <v>1</v>
      </c>
      <c r="W4" s="1" t="str">
        <f>MID(Table15[[#This Row],[corpus-allvar]], LEN(Table15[[#This Row],[corpus-nstrs]])+2, 999)</f>
        <v>20-1</v>
      </c>
      <c r="X4" s="1">
        <f>INT(LEFT(Table15[[#This Row],[corpus-varsuffix2]], FIND("-", Table15[[#This Row],[corpus-varsuffix2]])-1))</f>
        <v>20</v>
      </c>
      <c r="Y4" s="1">
        <f>INT(MID(Table15[[#This Row],[corpus-varsuffix2]], LEN(Table15[[#This Row],[corpus-meanlen]])+2, 999))</f>
        <v>1</v>
      </c>
      <c r="Z4" s="4">
        <f>Table15[[#This Row],[concatDoneActualCount]]/Table15[[#This Row],[execTimeActualSec]]</f>
        <v>26131106.316163987</v>
      </c>
      <c r="AA4" s="4">
        <f>CONVERT(Table15[[#This Row],[execTimeActualSec]]/Table15[[#This Row],[concatDoneActualCount]], "s", "ns")</f>
        <v>38.268567273840496</v>
      </c>
      <c r="AB4" s="1" t="str">
        <f>Table15[[#This Row],[corpus-meanlen]]&amp;"-"&amp;Table15[[#This Row],[heapGrowThreshold]]</f>
        <v>20-0.1</v>
      </c>
      <c r="AC4" s="1">
        <f>INDEX(importmem[seclast_req_mem], MATCH(Table15[[#This Row],[memrowid]], importmem[rowid], 0))</f>
        <v>267966</v>
      </c>
      <c r="AD4" s="1">
        <f>IF(Table15[[#This Row],[corpusMeanLenChars]]=20, Table15[[#This Row],[mem-amt]], "")</f>
        <v>267966</v>
      </c>
      <c r="AE4" s="1" t="str">
        <f>IF(Table15[[#This Row],[corpusMeanLenChars]]=50, Table15[[#This Row],[mem-amt]], "")</f>
        <v/>
      </c>
      <c r="AF4" s="1" t="str">
        <f>IF(Table15[[#This Row],[corpusMeanLenChars]]=100, Table15[[#This Row],[mem-amt]], "")</f>
        <v/>
      </c>
      <c r="AG4" s="1" t="str">
        <f>IF(Table15[[#This Row],[corpusMeanLenChars]]=200, Table15[[#This Row],[mem-amt]], "")</f>
        <v/>
      </c>
      <c r="AH4" s="1" t="str">
        <f>IF(Table15[[#This Row],[corpusMeanLenChars]]=500, Table15[[#This Row],[mem-amt]], "")</f>
        <v/>
      </c>
    </row>
    <row r="5" spans="1:34" x14ac:dyDescent="0.25">
      <c r="A5" s="1" t="s">
        <v>70</v>
      </c>
      <c r="B5" s="1" t="str">
        <f>Table15[[#This Row],[test]]&amp;"@"&amp;Table15[[#This Row],[corpus]]</f>
        <v>perfexp-cfa-pal-ll-share-na@corpus-1-20-1.txt</v>
      </c>
      <c r="C5" s="5" t="s">
        <v>66</v>
      </c>
      <c r="D5" s="5" t="s">
        <v>58</v>
      </c>
      <c r="E5" s="5">
        <v>0.2</v>
      </c>
      <c r="F5" s="5" t="s">
        <v>45</v>
      </c>
      <c r="G5" s="5">
        <v>1</v>
      </c>
      <c r="H5" s="5">
        <v>20</v>
      </c>
      <c r="I5" s="29">
        <v>260830000</v>
      </c>
      <c r="J5" s="33">
        <v>10.000373</v>
      </c>
      <c r="K5" t="str">
        <f>MID(Table15[[#This Row],[test]], LEN("perfexp-")+1, 9999)</f>
        <v>cfa-pal-ll-share-na</v>
      </c>
      <c r="L5">
        <f>FIND("-p", Table15[[#This Row],[test-allvar]])+LEN("-")</f>
        <v>5</v>
      </c>
      <c r="M5" t="str">
        <f>MID(Table15[[#This Row],[test-allvar]], Table15[[#This Row],[operation-idx]], LEN("pta"))</f>
        <v>pal</v>
      </c>
      <c r="N5" s="1" t="str">
        <f>LEFT(Table15[[#This Row],[test-allvar]], Table15[[#This Row],[operation-idx]]-LEN("-")-1) &amp; MID(Table15[[#This Row],[test-allvar]], Table15[[#This Row],[operation-idx]]+LEN(Table15[[#This Row],[operation]]), 9999)</f>
        <v>cfa-ll-share-na</v>
      </c>
      <c r="O5" s="1" t="str">
        <f>IFERROR( LEFT(Table15[[#This Row],[sut]], FIND("-", Table15[[#This Row],[sut]])-1), Table15[[#This Row],[sut]])</f>
        <v>cfa</v>
      </c>
      <c r="P5" s="1" t="str">
        <f>IF(Table15[[#This Row],[sut-platform]]="cfa", MID(Table15[[#This Row],[sut]], 5, 2), "~na~")</f>
        <v>ll</v>
      </c>
      <c r="Q5" s="1" t="str">
        <f>IF(Table15[[#This Row],[sut-platform]]="cfa", MID(Table15[[#This Row],[sut]], 8, 999), Table15[[#This Row],[sut-cfa-level]])</f>
        <v>share-na</v>
      </c>
      <c r="R5" s="1" t="str">
        <f>IF(Table15[[#This Row],[sut-platform]]="cfa", LEFT(Table15[[#This Row],[suffix-cfa-sharing-alloc]], FIND("-",Table15[[#This Row],[suffix-cfa-sharing-alloc]])-1), "~na~")</f>
        <v>share</v>
      </c>
      <c r="S5" s="1" t="str">
        <f>RIGHT(Table15[[#This Row],[test-allvar]],LEN(Table15[[#This Row],[test-allvar]])-FIND("@",SUBSTITUTE(Table15[[#This Row],[test-allvar]],"-","@",LEN(Table15[[#This Row],[test-allvar]])-LEN(SUBSTITUTE(Table15[[#This Row],[test-allvar]],"-",""))),1))</f>
        <v>na</v>
      </c>
      <c r="T5" s="1" t="str">
        <f>MID(Table15[[#This Row],[corpus]], LEN("corpus-")+1, 999)</f>
        <v>1-20-1.txt</v>
      </c>
      <c r="U5" s="1" t="str">
        <f>LEFT(Table15[[#This Row],[corpus-varsuffix]], FIND(".txt", Table15[[#This Row],[corpus-varsuffix]])-1)</f>
        <v>1-20-1</v>
      </c>
      <c r="V5" s="1">
        <f>INT(LEFT(Table15[[#This Row],[corpus-allvar]], FIND("-", Table15[[#This Row],[corpus-varsuffix]])-1))</f>
        <v>1</v>
      </c>
      <c r="W5" s="1" t="str">
        <f>MID(Table15[[#This Row],[corpus-allvar]], LEN(Table15[[#This Row],[corpus-nstrs]])+2, 999)</f>
        <v>20-1</v>
      </c>
      <c r="X5" s="1">
        <f>INT(LEFT(Table15[[#This Row],[corpus-varsuffix2]], FIND("-", Table15[[#This Row],[corpus-varsuffix2]])-1))</f>
        <v>20</v>
      </c>
      <c r="Y5" s="1">
        <f>INT(MID(Table15[[#This Row],[corpus-varsuffix2]], LEN(Table15[[#This Row],[corpus-meanlen]])+2, 999))</f>
        <v>1</v>
      </c>
      <c r="Z5" s="4">
        <f>Table15[[#This Row],[concatDoneActualCount]]/Table15[[#This Row],[execTimeActualSec]]</f>
        <v>26082027.140387665</v>
      </c>
      <c r="AA5" s="4">
        <f>CONVERT(Table15[[#This Row],[execTimeActualSec]]/Table15[[#This Row],[concatDoneActualCount]], "s", "ns")</f>
        <v>38.340578154353409</v>
      </c>
      <c r="AB5" s="1" t="str">
        <f>Table15[[#This Row],[corpus-meanlen]]&amp;"-"&amp;Table15[[#This Row],[heapGrowThreshold]]</f>
        <v>20-0.2</v>
      </c>
      <c r="AC5" s="1">
        <f>INDEX(importmem[seclast_req_mem], MATCH(Table15[[#This Row],[memrowid]], importmem[rowid], 0))</f>
        <v>139966</v>
      </c>
      <c r="AD5" s="1">
        <f>IF(Table15[[#This Row],[corpusMeanLenChars]]=20, Table15[[#This Row],[mem-amt]], "")</f>
        <v>139966</v>
      </c>
      <c r="AE5" s="1" t="str">
        <f>IF(Table15[[#This Row],[corpusMeanLenChars]]=50, Table15[[#This Row],[mem-amt]], "")</f>
        <v/>
      </c>
      <c r="AF5" s="1" t="str">
        <f>IF(Table15[[#This Row],[corpusMeanLenChars]]=100, Table15[[#This Row],[mem-amt]], "")</f>
        <v/>
      </c>
      <c r="AG5" s="1" t="str">
        <f>IF(Table15[[#This Row],[corpusMeanLenChars]]=200, Table15[[#This Row],[mem-amt]], "")</f>
        <v/>
      </c>
      <c r="AH5" s="1" t="str">
        <f>IF(Table15[[#This Row],[corpusMeanLenChars]]=500, Table15[[#This Row],[mem-amt]], "")</f>
        <v/>
      </c>
    </row>
    <row r="6" spans="1:34" x14ac:dyDescent="0.25">
      <c r="A6" s="1" t="s">
        <v>70</v>
      </c>
      <c r="B6" s="1" t="str">
        <f>Table15[[#This Row],[test]]&amp;"@"&amp;Table15[[#This Row],[corpus]]</f>
        <v>perfexp-cfa-pal-ll-share-na@corpus-1-20-1.txt</v>
      </c>
      <c r="C6" s="5" t="s">
        <v>66</v>
      </c>
      <c r="D6" s="5" t="s">
        <v>58</v>
      </c>
      <c r="E6" s="5">
        <v>0.5</v>
      </c>
      <c r="F6" s="5" t="s">
        <v>45</v>
      </c>
      <c r="G6" s="5">
        <v>1</v>
      </c>
      <c r="H6" s="5">
        <v>20</v>
      </c>
      <c r="I6" s="29">
        <v>244180000</v>
      </c>
      <c r="J6" s="33">
        <v>10.000201000000001</v>
      </c>
      <c r="K6" t="str">
        <f>MID(Table15[[#This Row],[test]], LEN("perfexp-")+1, 9999)</f>
        <v>cfa-pal-ll-share-na</v>
      </c>
      <c r="L6">
        <f>FIND("-p", Table15[[#This Row],[test-allvar]])+LEN("-")</f>
        <v>5</v>
      </c>
      <c r="M6" t="str">
        <f>MID(Table15[[#This Row],[test-allvar]], Table15[[#This Row],[operation-idx]], LEN("pta"))</f>
        <v>pal</v>
      </c>
      <c r="N6" s="1" t="str">
        <f>LEFT(Table15[[#This Row],[test-allvar]], Table15[[#This Row],[operation-idx]]-LEN("-")-1) &amp; MID(Table15[[#This Row],[test-allvar]], Table15[[#This Row],[operation-idx]]+LEN(Table15[[#This Row],[operation]]), 9999)</f>
        <v>cfa-ll-share-na</v>
      </c>
      <c r="O6" s="1" t="str">
        <f>IFERROR( LEFT(Table15[[#This Row],[sut]], FIND("-", Table15[[#This Row],[sut]])-1), Table15[[#This Row],[sut]])</f>
        <v>cfa</v>
      </c>
      <c r="P6" s="1" t="str">
        <f>IF(Table15[[#This Row],[sut-platform]]="cfa", MID(Table15[[#This Row],[sut]], 5, 2), "~na~")</f>
        <v>ll</v>
      </c>
      <c r="Q6" s="1" t="str">
        <f>IF(Table15[[#This Row],[sut-platform]]="cfa", MID(Table15[[#This Row],[sut]], 8, 999), Table15[[#This Row],[sut-cfa-level]])</f>
        <v>share-na</v>
      </c>
      <c r="R6" s="1" t="str">
        <f>IF(Table15[[#This Row],[sut-platform]]="cfa", LEFT(Table15[[#This Row],[suffix-cfa-sharing-alloc]], FIND("-",Table15[[#This Row],[suffix-cfa-sharing-alloc]])-1), "~na~")</f>
        <v>share</v>
      </c>
      <c r="S6" s="1" t="str">
        <f>RIGHT(Table15[[#This Row],[test-allvar]],LEN(Table15[[#This Row],[test-allvar]])-FIND("@",SUBSTITUTE(Table15[[#This Row],[test-allvar]],"-","@",LEN(Table15[[#This Row],[test-allvar]])-LEN(SUBSTITUTE(Table15[[#This Row],[test-allvar]],"-",""))),1))</f>
        <v>na</v>
      </c>
      <c r="T6" s="1" t="str">
        <f>MID(Table15[[#This Row],[corpus]], LEN("corpus-")+1, 999)</f>
        <v>1-20-1.txt</v>
      </c>
      <c r="U6" s="1" t="str">
        <f>LEFT(Table15[[#This Row],[corpus-varsuffix]], FIND(".txt", Table15[[#This Row],[corpus-varsuffix]])-1)</f>
        <v>1-20-1</v>
      </c>
      <c r="V6" s="1">
        <f>INT(LEFT(Table15[[#This Row],[corpus-allvar]], FIND("-", Table15[[#This Row],[corpus-varsuffix]])-1))</f>
        <v>1</v>
      </c>
      <c r="W6" s="1" t="str">
        <f>MID(Table15[[#This Row],[corpus-allvar]], LEN(Table15[[#This Row],[corpus-nstrs]])+2, 999)</f>
        <v>20-1</v>
      </c>
      <c r="X6" s="1">
        <f>INT(LEFT(Table15[[#This Row],[corpus-varsuffix2]], FIND("-", Table15[[#This Row],[corpus-varsuffix2]])-1))</f>
        <v>20</v>
      </c>
      <c r="Y6" s="1">
        <f>INT(MID(Table15[[#This Row],[corpus-varsuffix2]], LEN(Table15[[#This Row],[corpus-meanlen]])+2, 999))</f>
        <v>1</v>
      </c>
      <c r="Z6" s="4">
        <f>Table15[[#This Row],[concatDoneActualCount]]/Table15[[#This Row],[execTimeActualSec]]</f>
        <v>24417509.208064917</v>
      </c>
      <c r="AA6" s="4">
        <f>CONVERT(Table15[[#This Row],[execTimeActualSec]]/Table15[[#This Row],[concatDoneActualCount]], "s", "ns")</f>
        <v>40.954218199688761</v>
      </c>
      <c r="AB6" s="1" t="str">
        <f>Table15[[#This Row],[corpus-meanlen]]&amp;"-"&amp;Table15[[#This Row],[heapGrowThreshold]]</f>
        <v>20-0.5</v>
      </c>
      <c r="AC6" s="1">
        <f>INDEX(importmem[seclast_req_mem], MATCH(Table15[[#This Row],[memrowid]], importmem[rowid], 0))</f>
        <v>75966</v>
      </c>
      <c r="AD6" s="1">
        <f>IF(Table15[[#This Row],[corpusMeanLenChars]]=20, Table15[[#This Row],[mem-amt]], "")</f>
        <v>75966</v>
      </c>
      <c r="AE6" s="1" t="str">
        <f>IF(Table15[[#This Row],[corpusMeanLenChars]]=50, Table15[[#This Row],[mem-amt]], "")</f>
        <v/>
      </c>
      <c r="AF6" s="1" t="str">
        <f>IF(Table15[[#This Row],[corpusMeanLenChars]]=100, Table15[[#This Row],[mem-amt]], "")</f>
        <v/>
      </c>
      <c r="AG6" s="1" t="str">
        <f>IF(Table15[[#This Row],[corpusMeanLenChars]]=200, Table15[[#This Row],[mem-amt]], "")</f>
        <v/>
      </c>
      <c r="AH6" s="1" t="str">
        <f>IF(Table15[[#This Row],[corpusMeanLenChars]]=500, Table15[[#This Row],[mem-amt]], "")</f>
        <v/>
      </c>
    </row>
    <row r="7" spans="1:34" x14ac:dyDescent="0.25">
      <c r="A7" s="1" t="s">
        <v>70</v>
      </c>
      <c r="B7" s="1" t="str">
        <f>Table15[[#This Row],[test]]&amp;"@"&amp;Table15[[#This Row],[corpus]]</f>
        <v>perfexp-cfa-pal-ll-share-na@corpus-1-20-1.txt</v>
      </c>
      <c r="C7" s="5" t="s">
        <v>66</v>
      </c>
      <c r="D7" s="26" t="s">
        <v>58</v>
      </c>
      <c r="E7" s="26">
        <v>0.9</v>
      </c>
      <c r="F7" s="5" t="s">
        <v>45</v>
      </c>
      <c r="G7" s="5">
        <v>1</v>
      </c>
      <c r="H7" s="5">
        <v>20</v>
      </c>
      <c r="I7" s="31">
        <v>203880000</v>
      </c>
      <c r="J7" s="33">
        <v>10.000106000000001</v>
      </c>
      <c r="K7" t="str">
        <f>MID(Table15[[#This Row],[test]], LEN("perfexp-")+1, 9999)</f>
        <v>cfa-pal-ll-share-na</v>
      </c>
      <c r="L7">
        <f>FIND("-p", Table15[[#This Row],[test-allvar]])+LEN("-")</f>
        <v>5</v>
      </c>
      <c r="M7" t="str">
        <f>MID(Table15[[#This Row],[test-allvar]], Table15[[#This Row],[operation-idx]], LEN("pta"))</f>
        <v>pal</v>
      </c>
      <c r="N7" s="1" t="str">
        <f>LEFT(Table15[[#This Row],[test-allvar]], Table15[[#This Row],[operation-idx]]-LEN("-")-1) &amp; MID(Table15[[#This Row],[test-allvar]], Table15[[#This Row],[operation-idx]]+LEN(Table15[[#This Row],[operation]]), 9999)</f>
        <v>cfa-ll-share-na</v>
      </c>
      <c r="O7" s="1" t="str">
        <f>IFERROR( LEFT(Table15[[#This Row],[sut]], FIND("-", Table15[[#This Row],[sut]])-1), Table15[[#This Row],[sut]])</f>
        <v>cfa</v>
      </c>
      <c r="P7" s="1" t="str">
        <f>IF(Table15[[#This Row],[sut-platform]]="cfa", MID(Table15[[#This Row],[sut]], 5, 2), "~na~")</f>
        <v>ll</v>
      </c>
      <c r="Q7" s="1" t="str">
        <f>IF(Table15[[#This Row],[sut-platform]]="cfa", MID(Table15[[#This Row],[sut]], 8, 999), Table15[[#This Row],[sut-cfa-level]])</f>
        <v>share-na</v>
      </c>
      <c r="R7" s="1" t="str">
        <f>IF(Table15[[#This Row],[sut-platform]]="cfa", LEFT(Table15[[#This Row],[suffix-cfa-sharing-alloc]], FIND("-",Table15[[#This Row],[suffix-cfa-sharing-alloc]])-1), "~na~")</f>
        <v>share</v>
      </c>
      <c r="S7" s="1" t="str">
        <f>RIGHT(Table15[[#This Row],[test-allvar]],LEN(Table15[[#This Row],[test-allvar]])-FIND("@",SUBSTITUTE(Table15[[#This Row],[test-allvar]],"-","@",LEN(Table15[[#This Row],[test-allvar]])-LEN(SUBSTITUTE(Table15[[#This Row],[test-allvar]],"-",""))),1))</f>
        <v>na</v>
      </c>
      <c r="T7" s="1" t="str">
        <f>MID(Table15[[#This Row],[corpus]], LEN("corpus-")+1, 999)</f>
        <v>1-20-1.txt</v>
      </c>
      <c r="U7" s="1" t="str">
        <f>LEFT(Table15[[#This Row],[corpus-varsuffix]], FIND(".txt", Table15[[#This Row],[corpus-varsuffix]])-1)</f>
        <v>1-20-1</v>
      </c>
      <c r="V7" s="1">
        <f>INT(LEFT(Table15[[#This Row],[corpus-allvar]], FIND("-", Table15[[#This Row],[corpus-varsuffix]])-1))</f>
        <v>1</v>
      </c>
      <c r="W7" s="1" t="str">
        <f>MID(Table15[[#This Row],[corpus-allvar]], LEN(Table15[[#This Row],[corpus-nstrs]])+2, 999)</f>
        <v>20-1</v>
      </c>
      <c r="X7" s="1">
        <f>INT(LEFT(Table15[[#This Row],[corpus-varsuffix2]], FIND("-", Table15[[#This Row],[corpus-varsuffix2]])-1))</f>
        <v>20</v>
      </c>
      <c r="Y7" s="1">
        <f>INT(MID(Table15[[#This Row],[corpus-varsuffix2]], LEN(Table15[[#This Row],[corpus-meanlen]])+2, 999))</f>
        <v>1</v>
      </c>
      <c r="Z7" s="4">
        <f>Table15[[#This Row],[concatDoneActualCount]]/Table15[[#This Row],[execTimeActualSec]]</f>
        <v>20387783.889490768</v>
      </c>
      <c r="AA7" s="4">
        <f>CONVERT(Table15[[#This Row],[execTimeActualSec]]/Table15[[#This Row],[concatDoneActualCount]], "s", "ns")</f>
        <v>49.04897979203453</v>
      </c>
      <c r="AB7" s="1" t="str">
        <f>Table15[[#This Row],[corpus-meanlen]]&amp;"-"&amp;Table15[[#This Row],[heapGrowThreshold]]</f>
        <v>20-0.9</v>
      </c>
      <c r="AC7" s="1">
        <f>INDEX(importmem[seclast_req_mem], MATCH(Table15[[#This Row],[memrowid]], importmem[rowid], 0))</f>
        <v>43966</v>
      </c>
      <c r="AD7" s="1">
        <f>IF(Table15[[#This Row],[corpusMeanLenChars]]=20, Table15[[#This Row],[mem-amt]], "")</f>
        <v>43966</v>
      </c>
      <c r="AE7" s="1" t="str">
        <f>IF(Table15[[#This Row],[corpusMeanLenChars]]=50, Table15[[#This Row],[mem-amt]], "")</f>
        <v/>
      </c>
      <c r="AF7" s="1" t="str">
        <f>IF(Table15[[#This Row],[corpusMeanLenChars]]=100, Table15[[#This Row],[mem-amt]], "")</f>
        <v/>
      </c>
      <c r="AG7" s="1" t="str">
        <f>IF(Table15[[#This Row],[corpusMeanLenChars]]=200, Table15[[#This Row],[mem-amt]], "")</f>
        <v/>
      </c>
      <c r="AH7" s="1" t="str">
        <f>IF(Table15[[#This Row],[corpusMeanLenChars]]=500, Table15[[#This Row],[mem-amt]], "")</f>
        <v/>
      </c>
    </row>
    <row r="8" spans="1:34" x14ac:dyDescent="0.25">
      <c r="A8" s="1" t="s">
        <v>71</v>
      </c>
      <c r="B8" s="1" t="str">
        <f>Table15[[#This Row],[test]]&amp;"@"&amp;Table15[[#This Row],[corpus]]</f>
        <v>perfexp-cfa-pal-ll-share-na@corpus-1-50-1.txt</v>
      </c>
      <c r="C8" s="5" t="s">
        <v>66</v>
      </c>
      <c r="D8" s="5" t="s">
        <v>61</v>
      </c>
      <c r="E8" s="5">
        <v>0.02</v>
      </c>
      <c r="F8" s="5" t="s">
        <v>45</v>
      </c>
      <c r="G8" s="5">
        <v>1</v>
      </c>
      <c r="H8" s="5">
        <v>50</v>
      </c>
      <c r="I8" s="29">
        <v>254680000</v>
      </c>
      <c r="J8" s="33">
        <v>10.000083</v>
      </c>
      <c r="K8" s="13" t="str">
        <f>MID(Table15[[#This Row],[test]], LEN("perfexp-")+1, 9999)</f>
        <v>cfa-pal-ll-share-na</v>
      </c>
      <c r="L8" s="1">
        <f>FIND("-p", Table15[[#This Row],[test-allvar]])+LEN("-")</f>
        <v>5</v>
      </c>
      <c r="M8" s="1" t="str">
        <f>MID(Table15[[#This Row],[test-allvar]], Table15[[#This Row],[operation-idx]], LEN("pta"))</f>
        <v>pal</v>
      </c>
      <c r="N8" s="1" t="str">
        <f>LEFT(Table15[[#This Row],[test-allvar]], Table15[[#This Row],[operation-idx]]-LEN("-")-1) &amp; MID(Table15[[#This Row],[test-allvar]], Table15[[#This Row],[operation-idx]]+LEN(Table15[[#This Row],[operation]]), 9999)</f>
        <v>cfa-ll-share-na</v>
      </c>
      <c r="O8" s="1" t="str">
        <f>IFERROR( LEFT(Table15[[#This Row],[sut]], FIND("-", Table15[[#This Row],[sut]])-1), Table15[[#This Row],[sut]])</f>
        <v>cfa</v>
      </c>
      <c r="P8" s="1" t="str">
        <f>IF(Table15[[#This Row],[sut-platform]]="cfa", MID(Table15[[#This Row],[sut]], 5, 2), "~na~")</f>
        <v>ll</v>
      </c>
      <c r="Q8" s="1" t="str">
        <f>IF(Table15[[#This Row],[sut-platform]]="cfa", MID(Table15[[#This Row],[sut]], 8, 999), Table15[[#This Row],[sut-cfa-level]])</f>
        <v>share-na</v>
      </c>
      <c r="R8" s="1" t="str">
        <f>IF(Table15[[#This Row],[sut-platform]]="cfa", LEFT(Table15[[#This Row],[suffix-cfa-sharing-alloc]], FIND("-",Table15[[#This Row],[suffix-cfa-sharing-alloc]])-1), "~na~")</f>
        <v>share</v>
      </c>
      <c r="S8" s="1" t="str">
        <f>RIGHT(Table15[[#This Row],[test-allvar]],LEN(Table15[[#This Row],[test-allvar]])-FIND("@",SUBSTITUTE(Table15[[#This Row],[test-allvar]],"-","@",LEN(Table15[[#This Row],[test-allvar]])-LEN(SUBSTITUTE(Table15[[#This Row],[test-allvar]],"-",""))),1))</f>
        <v>na</v>
      </c>
      <c r="T8" s="1" t="str">
        <f>MID(Table15[[#This Row],[corpus]], LEN("corpus-")+1, 999)</f>
        <v>1-50-1.txt</v>
      </c>
      <c r="U8" s="1" t="str">
        <f>LEFT(Table15[[#This Row],[corpus-varsuffix]], FIND(".txt", Table15[[#This Row],[corpus-varsuffix]])-1)</f>
        <v>1-50-1</v>
      </c>
      <c r="V8" s="1">
        <f>INT(LEFT(Table15[[#This Row],[corpus-allvar]], FIND("-", Table15[[#This Row],[corpus-varsuffix]])-1))</f>
        <v>1</v>
      </c>
      <c r="W8" s="1" t="str">
        <f>MID(Table15[[#This Row],[corpus-allvar]], LEN(Table15[[#This Row],[corpus-nstrs]])+2, 999)</f>
        <v>50-1</v>
      </c>
      <c r="X8" s="1">
        <f>INT(LEFT(Table15[[#This Row],[corpus-varsuffix2]], FIND("-", Table15[[#This Row],[corpus-varsuffix2]])-1))</f>
        <v>50</v>
      </c>
      <c r="Y8" s="1">
        <f>INT(MID(Table15[[#This Row],[corpus-varsuffix2]], LEN(Table15[[#This Row],[corpus-meanlen]])+2, 999))</f>
        <v>1</v>
      </c>
      <c r="Z8" s="4">
        <f>Table15[[#This Row],[concatDoneActualCount]]/Table15[[#This Row],[execTimeActualSec]]</f>
        <v>25467788.617354475</v>
      </c>
      <c r="AA8" s="4">
        <f>CONVERT(Table15[[#This Row],[execTimeActualSec]]/Table15[[#This Row],[concatDoneActualCount]], "s", "ns")</f>
        <v>39.265285848908434</v>
      </c>
      <c r="AB8" s="1" t="str">
        <f>Table15[[#This Row],[corpus-meanlen]]&amp;"-"&amp;Table15[[#This Row],[heapGrowThreshold]]</f>
        <v>50-0.02</v>
      </c>
      <c r="AC8" s="1">
        <f>INDEX(importmem[seclast_req_mem], MATCH(Table15[[#This Row],[memrowid]], importmem[rowid], 0))</f>
        <v>4107966</v>
      </c>
      <c r="AD8" s="1" t="str">
        <f>IF(Table15[[#This Row],[corpusMeanLenChars]]=20, Table15[[#This Row],[mem-amt]], "")</f>
        <v/>
      </c>
      <c r="AE8" s="1">
        <f>IF(Table15[[#This Row],[corpusMeanLenChars]]=50, Table15[[#This Row],[mem-amt]], "")</f>
        <v>4107966</v>
      </c>
      <c r="AF8" s="1" t="str">
        <f>IF(Table15[[#This Row],[corpusMeanLenChars]]=100, Table15[[#This Row],[mem-amt]], "")</f>
        <v/>
      </c>
      <c r="AG8" s="1" t="str">
        <f>IF(Table15[[#This Row],[corpusMeanLenChars]]=200, Table15[[#This Row],[mem-amt]], "")</f>
        <v/>
      </c>
      <c r="AH8" s="1" t="str">
        <f>IF(Table15[[#This Row],[corpusMeanLenChars]]=500, Table15[[#This Row],[mem-amt]], "")</f>
        <v/>
      </c>
    </row>
    <row r="9" spans="1:34" x14ac:dyDescent="0.25">
      <c r="A9" s="1" t="s">
        <v>71</v>
      </c>
      <c r="B9" s="1" t="str">
        <f>Table15[[#This Row],[test]]&amp;"@"&amp;Table15[[#This Row],[corpus]]</f>
        <v>perfexp-cfa-pal-ll-share-na@corpus-1-50-1.txt</v>
      </c>
      <c r="C9" s="5" t="s">
        <v>66</v>
      </c>
      <c r="D9" s="5" t="s">
        <v>61</v>
      </c>
      <c r="E9" s="5">
        <v>0.05</v>
      </c>
      <c r="F9" s="5" t="s">
        <v>45</v>
      </c>
      <c r="G9" s="5">
        <v>1</v>
      </c>
      <c r="H9" s="5">
        <v>50</v>
      </c>
      <c r="I9" s="29">
        <v>255110000</v>
      </c>
      <c r="J9" s="33">
        <v>10.000045999999999</v>
      </c>
      <c r="K9" s="13" t="str">
        <f>MID(Table15[[#This Row],[test]], LEN("perfexp-")+1, 9999)</f>
        <v>cfa-pal-ll-share-na</v>
      </c>
      <c r="L9" s="1">
        <f>FIND("-p", Table15[[#This Row],[test-allvar]])+LEN("-")</f>
        <v>5</v>
      </c>
      <c r="M9" s="1" t="str">
        <f>MID(Table15[[#This Row],[test-allvar]], Table15[[#This Row],[operation-idx]], LEN("pta"))</f>
        <v>pal</v>
      </c>
      <c r="N9" s="1" t="str">
        <f>LEFT(Table15[[#This Row],[test-allvar]], Table15[[#This Row],[operation-idx]]-LEN("-")-1) &amp; MID(Table15[[#This Row],[test-allvar]], Table15[[#This Row],[operation-idx]]+LEN(Table15[[#This Row],[operation]]), 9999)</f>
        <v>cfa-ll-share-na</v>
      </c>
      <c r="O9" s="1" t="str">
        <f>IFERROR( LEFT(Table15[[#This Row],[sut]], FIND("-", Table15[[#This Row],[sut]])-1), Table15[[#This Row],[sut]])</f>
        <v>cfa</v>
      </c>
      <c r="P9" s="1" t="str">
        <f>IF(Table15[[#This Row],[sut-platform]]="cfa", MID(Table15[[#This Row],[sut]], 5, 2), "~na~")</f>
        <v>ll</v>
      </c>
      <c r="Q9" s="1" t="str">
        <f>IF(Table15[[#This Row],[sut-platform]]="cfa", MID(Table15[[#This Row],[sut]], 8, 999), Table15[[#This Row],[sut-cfa-level]])</f>
        <v>share-na</v>
      </c>
      <c r="R9" s="1" t="str">
        <f>IF(Table15[[#This Row],[sut-platform]]="cfa", LEFT(Table15[[#This Row],[suffix-cfa-sharing-alloc]], FIND("-",Table15[[#This Row],[suffix-cfa-sharing-alloc]])-1), "~na~")</f>
        <v>share</v>
      </c>
      <c r="S9" s="1" t="str">
        <f>RIGHT(Table15[[#This Row],[test-allvar]],LEN(Table15[[#This Row],[test-allvar]])-FIND("@",SUBSTITUTE(Table15[[#This Row],[test-allvar]],"-","@",LEN(Table15[[#This Row],[test-allvar]])-LEN(SUBSTITUTE(Table15[[#This Row],[test-allvar]],"-",""))),1))</f>
        <v>na</v>
      </c>
      <c r="T9" s="1" t="str">
        <f>MID(Table15[[#This Row],[corpus]], LEN("corpus-")+1, 999)</f>
        <v>1-50-1.txt</v>
      </c>
      <c r="U9" s="1" t="str">
        <f>LEFT(Table15[[#This Row],[corpus-varsuffix]], FIND(".txt", Table15[[#This Row],[corpus-varsuffix]])-1)</f>
        <v>1-50-1</v>
      </c>
      <c r="V9" s="1">
        <f>INT(LEFT(Table15[[#This Row],[corpus-allvar]], FIND("-", Table15[[#This Row],[corpus-varsuffix]])-1))</f>
        <v>1</v>
      </c>
      <c r="W9" s="1" t="str">
        <f>MID(Table15[[#This Row],[corpus-allvar]], LEN(Table15[[#This Row],[corpus-nstrs]])+2, 999)</f>
        <v>50-1</v>
      </c>
      <c r="X9" s="1">
        <f>INT(LEFT(Table15[[#This Row],[corpus-varsuffix2]], FIND("-", Table15[[#This Row],[corpus-varsuffix2]])-1))</f>
        <v>50</v>
      </c>
      <c r="Y9" s="1">
        <f>INT(MID(Table15[[#This Row],[corpus-varsuffix2]], LEN(Table15[[#This Row],[corpus-meanlen]])+2, 999))</f>
        <v>1</v>
      </c>
      <c r="Z9" s="4">
        <f>Table15[[#This Row],[concatDoneActualCount]]/Table15[[#This Row],[execTimeActualSec]]</f>
        <v>25510882.649939813</v>
      </c>
      <c r="AA9" s="4">
        <f>CONVERT(Table15[[#This Row],[execTimeActualSec]]/Table15[[#This Row],[concatDoneActualCount]], "s", "ns")</f>
        <v>39.198957312531846</v>
      </c>
      <c r="AB9" s="1" t="str">
        <f>Table15[[#This Row],[corpus-meanlen]]&amp;"-"&amp;Table15[[#This Row],[heapGrowThreshold]]</f>
        <v>50-0.05</v>
      </c>
      <c r="AC9" s="1">
        <f>INDEX(importmem[seclast_req_mem], MATCH(Table15[[#This Row],[memrowid]], importmem[rowid], 0))</f>
        <v>1035966</v>
      </c>
      <c r="AD9" s="1" t="str">
        <f>IF(Table15[[#This Row],[corpusMeanLenChars]]=20, Table15[[#This Row],[mem-amt]], "")</f>
        <v/>
      </c>
      <c r="AE9" s="1">
        <f>IF(Table15[[#This Row],[corpusMeanLenChars]]=50, Table15[[#This Row],[mem-amt]], "")</f>
        <v>1035966</v>
      </c>
      <c r="AF9" s="1" t="str">
        <f>IF(Table15[[#This Row],[corpusMeanLenChars]]=100, Table15[[#This Row],[mem-amt]], "")</f>
        <v/>
      </c>
      <c r="AG9" s="1" t="str">
        <f>IF(Table15[[#This Row],[corpusMeanLenChars]]=200, Table15[[#This Row],[mem-amt]], "")</f>
        <v/>
      </c>
      <c r="AH9" s="1" t="str">
        <f>IF(Table15[[#This Row],[corpusMeanLenChars]]=500, Table15[[#This Row],[mem-amt]], "")</f>
        <v/>
      </c>
    </row>
    <row r="10" spans="1:34" x14ac:dyDescent="0.25">
      <c r="A10" s="1" t="s">
        <v>71</v>
      </c>
      <c r="B10" s="1" t="str">
        <f>Table15[[#This Row],[test]]&amp;"@"&amp;Table15[[#This Row],[corpus]]</f>
        <v>perfexp-cfa-pal-ll-share-na@corpus-1-50-1.txt</v>
      </c>
      <c r="C10" s="5" t="s">
        <v>66</v>
      </c>
      <c r="D10" s="5" t="s">
        <v>61</v>
      </c>
      <c r="E10" s="5">
        <v>0.1</v>
      </c>
      <c r="F10" s="5" t="s">
        <v>45</v>
      </c>
      <c r="G10" s="5">
        <v>1</v>
      </c>
      <c r="H10" s="5">
        <v>50</v>
      </c>
      <c r="I10" s="29">
        <v>250770000</v>
      </c>
      <c r="J10" s="33">
        <v>10.000318999999999</v>
      </c>
      <c r="K10" s="13" t="str">
        <f>MID(Table15[[#This Row],[test]], LEN("perfexp-")+1, 9999)</f>
        <v>cfa-pal-ll-share-na</v>
      </c>
      <c r="L10" s="1">
        <f>FIND("-p", Table15[[#This Row],[test-allvar]])+LEN("-")</f>
        <v>5</v>
      </c>
      <c r="M10" s="1" t="str">
        <f>MID(Table15[[#This Row],[test-allvar]], Table15[[#This Row],[operation-idx]], LEN("pta"))</f>
        <v>pal</v>
      </c>
      <c r="N10" s="1" t="str">
        <f>LEFT(Table15[[#This Row],[test-allvar]], Table15[[#This Row],[operation-idx]]-LEN("-")-1) &amp; MID(Table15[[#This Row],[test-allvar]], Table15[[#This Row],[operation-idx]]+LEN(Table15[[#This Row],[operation]]), 9999)</f>
        <v>cfa-ll-share-na</v>
      </c>
      <c r="O10" s="1" t="str">
        <f>IFERROR( LEFT(Table15[[#This Row],[sut]], FIND("-", Table15[[#This Row],[sut]])-1), Table15[[#This Row],[sut]])</f>
        <v>cfa</v>
      </c>
      <c r="P10" s="1" t="str">
        <f>IF(Table15[[#This Row],[sut-platform]]="cfa", MID(Table15[[#This Row],[sut]], 5, 2), "~na~")</f>
        <v>ll</v>
      </c>
      <c r="Q10" s="1" t="str">
        <f>IF(Table15[[#This Row],[sut-platform]]="cfa", MID(Table15[[#This Row],[sut]], 8, 999), Table15[[#This Row],[sut-cfa-level]])</f>
        <v>share-na</v>
      </c>
      <c r="R10" s="1" t="str">
        <f>IF(Table15[[#This Row],[sut-platform]]="cfa", LEFT(Table15[[#This Row],[suffix-cfa-sharing-alloc]], FIND("-",Table15[[#This Row],[suffix-cfa-sharing-alloc]])-1), "~na~")</f>
        <v>share</v>
      </c>
      <c r="S10" s="1" t="str">
        <f>RIGHT(Table15[[#This Row],[test-allvar]],LEN(Table15[[#This Row],[test-allvar]])-FIND("@",SUBSTITUTE(Table15[[#This Row],[test-allvar]],"-","@",LEN(Table15[[#This Row],[test-allvar]])-LEN(SUBSTITUTE(Table15[[#This Row],[test-allvar]],"-",""))),1))</f>
        <v>na</v>
      </c>
      <c r="T10" s="1" t="str">
        <f>MID(Table15[[#This Row],[corpus]], LEN("corpus-")+1, 999)</f>
        <v>1-50-1.txt</v>
      </c>
      <c r="U10" s="1" t="str">
        <f>LEFT(Table15[[#This Row],[corpus-varsuffix]], FIND(".txt", Table15[[#This Row],[corpus-varsuffix]])-1)</f>
        <v>1-50-1</v>
      </c>
      <c r="V10" s="1">
        <f>INT(LEFT(Table15[[#This Row],[corpus-allvar]], FIND("-", Table15[[#This Row],[corpus-varsuffix]])-1))</f>
        <v>1</v>
      </c>
      <c r="W10" s="1" t="str">
        <f>MID(Table15[[#This Row],[corpus-allvar]], LEN(Table15[[#This Row],[corpus-nstrs]])+2, 999)</f>
        <v>50-1</v>
      </c>
      <c r="X10" s="1">
        <f>INT(LEFT(Table15[[#This Row],[corpus-varsuffix2]], FIND("-", Table15[[#This Row],[corpus-varsuffix2]])-1))</f>
        <v>50</v>
      </c>
      <c r="Y10" s="1">
        <f>INT(MID(Table15[[#This Row],[corpus-varsuffix2]], LEN(Table15[[#This Row],[corpus-meanlen]])+2, 999))</f>
        <v>1</v>
      </c>
      <c r="Z10" s="4">
        <f>Table15[[#This Row],[concatDoneActualCount]]/Table15[[#This Row],[execTimeActualSec]]</f>
        <v>25076200.069217794</v>
      </c>
      <c r="AA10" s="4">
        <f>CONVERT(Table15[[#This Row],[execTimeActualSec]]/Table15[[#This Row],[concatDoneActualCount]], "s", "ns")</f>
        <v>39.878450372851617</v>
      </c>
      <c r="AB10" s="1" t="str">
        <f>Table15[[#This Row],[corpus-meanlen]]&amp;"-"&amp;Table15[[#This Row],[heapGrowThreshold]]</f>
        <v>50-0.1</v>
      </c>
      <c r="AC10" s="1">
        <f>INDEX(importmem[seclast_req_mem], MATCH(Table15[[#This Row],[memrowid]], importmem[rowid], 0))</f>
        <v>523966</v>
      </c>
      <c r="AD10" s="1" t="str">
        <f>IF(Table15[[#This Row],[corpusMeanLenChars]]=20, Table15[[#This Row],[mem-amt]], "")</f>
        <v/>
      </c>
      <c r="AE10" s="1">
        <f>IF(Table15[[#This Row],[corpusMeanLenChars]]=50, Table15[[#This Row],[mem-amt]], "")</f>
        <v>523966</v>
      </c>
      <c r="AF10" s="1" t="str">
        <f>IF(Table15[[#This Row],[corpusMeanLenChars]]=100, Table15[[#This Row],[mem-amt]], "")</f>
        <v/>
      </c>
      <c r="AG10" s="1" t="str">
        <f>IF(Table15[[#This Row],[corpusMeanLenChars]]=200, Table15[[#This Row],[mem-amt]], "")</f>
        <v/>
      </c>
      <c r="AH10" s="1" t="str">
        <f>IF(Table15[[#This Row],[corpusMeanLenChars]]=500, Table15[[#This Row],[mem-amt]], "")</f>
        <v/>
      </c>
    </row>
    <row r="11" spans="1:34" x14ac:dyDescent="0.25">
      <c r="A11" s="1" t="s">
        <v>71</v>
      </c>
      <c r="B11" s="1" t="str">
        <f>Table15[[#This Row],[test]]&amp;"@"&amp;Table15[[#This Row],[corpus]]</f>
        <v>perfexp-cfa-pal-ll-share-na@corpus-1-50-1.txt</v>
      </c>
      <c r="C11" s="5" t="s">
        <v>66</v>
      </c>
      <c r="D11" s="5" t="s">
        <v>61</v>
      </c>
      <c r="E11" s="5">
        <v>0.2</v>
      </c>
      <c r="F11" s="5" t="s">
        <v>45</v>
      </c>
      <c r="G11" s="5">
        <v>1</v>
      </c>
      <c r="H11" s="5">
        <v>50</v>
      </c>
      <c r="I11" s="44">
        <v>241000000</v>
      </c>
      <c r="J11" s="33">
        <v>10.000203000000001</v>
      </c>
      <c r="K11" s="13" t="str">
        <f>MID(Table15[[#This Row],[test]], LEN("perfexp-")+1, 9999)</f>
        <v>cfa-pal-ll-share-na</v>
      </c>
      <c r="L11" s="1">
        <f>FIND("-p", Table15[[#This Row],[test-allvar]])+LEN("-")</f>
        <v>5</v>
      </c>
      <c r="M11" s="1" t="str">
        <f>MID(Table15[[#This Row],[test-allvar]], Table15[[#This Row],[operation-idx]], LEN("pta"))</f>
        <v>pal</v>
      </c>
      <c r="N11" s="1" t="str">
        <f>LEFT(Table15[[#This Row],[test-allvar]], Table15[[#This Row],[operation-idx]]-LEN("-")-1) &amp; MID(Table15[[#This Row],[test-allvar]], Table15[[#This Row],[operation-idx]]+LEN(Table15[[#This Row],[operation]]), 9999)</f>
        <v>cfa-ll-share-na</v>
      </c>
      <c r="O11" s="1" t="str">
        <f>IFERROR( LEFT(Table15[[#This Row],[sut]], FIND("-", Table15[[#This Row],[sut]])-1), Table15[[#This Row],[sut]])</f>
        <v>cfa</v>
      </c>
      <c r="P11" s="1" t="str">
        <f>IF(Table15[[#This Row],[sut-platform]]="cfa", MID(Table15[[#This Row],[sut]], 5, 2), "~na~")</f>
        <v>ll</v>
      </c>
      <c r="Q11" s="1" t="str">
        <f>IF(Table15[[#This Row],[sut-platform]]="cfa", MID(Table15[[#This Row],[sut]], 8, 999), Table15[[#This Row],[sut-cfa-level]])</f>
        <v>share-na</v>
      </c>
      <c r="R11" s="1" t="str">
        <f>IF(Table15[[#This Row],[sut-platform]]="cfa", LEFT(Table15[[#This Row],[suffix-cfa-sharing-alloc]], FIND("-",Table15[[#This Row],[suffix-cfa-sharing-alloc]])-1), "~na~")</f>
        <v>share</v>
      </c>
      <c r="S11" s="1" t="str">
        <f>RIGHT(Table15[[#This Row],[test-allvar]],LEN(Table15[[#This Row],[test-allvar]])-FIND("@",SUBSTITUTE(Table15[[#This Row],[test-allvar]],"-","@",LEN(Table15[[#This Row],[test-allvar]])-LEN(SUBSTITUTE(Table15[[#This Row],[test-allvar]],"-",""))),1))</f>
        <v>na</v>
      </c>
      <c r="T11" s="1" t="str">
        <f>MID(Table15[[#This Row],[corpus]], LEN("corpus-")+1, 999)</f>
        <v>1-50-1.txt</v>
      </c>
      <c r="U11" s="1" t="str">
        <f>LEFT(Table15[[#This Row],[corpus-varsuffix]], FIND(".txt", Table15[[#This Row],[corpus-varsuffix]])-1)</f>
        <v>1-50-1</v>
      </c>
      <c r="V11" s="1">
        <f>INT(LEFT(Table15[[#This Row],[corpus-allvar]], FIND("-", Table15[[#This Row],[corpus-varsuffix]])-1))</f>
        <v>1</v>
      </c>
      <c r="W11" s="1" t="str">
        <f>MID(Table15[[#This Row],[corpus-allvar]], LEN(Table15[[#This Row],[corpus-nstrs]])+2, 999)</f>
        <v>50-1</v>
      </c>
      <c r="X11" s="1">
        <f>INT(LEFT(Table15[[#This Row],[corpus-varsuffix2]], FIND("-", Table15[[#This Row],[corpus-varsuffix2]])-1))</f>
        <v>50</v>
      </c>
      <c r="Y11" s="1">
        <f>INT(MID(Table15[[#This Row],[corpus-varsuffix2]], LEN(Table15[[#This Row],[corpus-meanlen]])+2, 999))</f>
        <v>1</v>
      </c>
      <c r="Z11" s="4">
        <f>Table15[[#This Row],[concatDoneActualCount]]/Table15[[#This Row],[execTimeActualSec]]</f>
        <v>24099510.779931165</v>
      </c>
      <c r="AA11" s="4">
        <f>CONVERT(Table15[[#This Row],[execTimeActualSec]]/Table15[[#This Row],[concatDoneActualCount]], "s", "ns")</f>
        <v>41.494618257261415</v>
      </c>
      <c r="AB11" s="1" t="str">
        <f>Table15[[#This Row],[corpus-meanlen]]&amp;"-"&amp;Table15[[#This Row],[heapGrowThreshold]]</f>
        <v>50-0.2</v>
      </c>
      <c r="AC11" s="1">
        <f>INDEX(importmem[seclast_req_mem], MATCH(Table15[[#This Row],[memrowid]], importmem[rowid], 0))</f>
        <v>267966</v>
      </c>
      <c r="AD11" s="1" t="str">
        <f>IF(Table15[[#This Row],[corpusMeanLenChars]]=20, Table15[[#This Row],[mem-amt]], "")</f>
        <v/>
      </c>
      <c r="AE11" s="1">
        <f>IF(Table15[[#This Row],[corpusMeanLenChars]]=50, Table15[[#This Row],[mem-amt]], "")</f>
        <v>267966</v>
      </c>
      <c r="AF11" s="1" t="str">
        <f>IF(Table15[[#This Row],[corpusMeanLenChars]]=100, Table15[[#This Row],[mem-amt]], "")</f>
        <v/>
      </c>
      <c r="AG11" s="1" t="str">
        <f>IF(Table15[[#This Row],[corpusMeanLenChars]]=200, Table15[[#This Row],[mem-amt]], "")</f>
        <v/>
      </c>
      <c r="AH11" s="1" t="str">
        <f>IF(Table15[[#This Row],[corpusMeanLenChars]]=500, Table15[[#This Row],[mem-amt]], "")</f>
        <v/>
      </c>
    </row>
    <row r="12" spans="1:34" x14ac:dyDescent="0.25">
      <c r="A12" s="1" t="s">
        <v>71</v>
      </c>
      <c r="B12" s="1" t="str">
        <f>Table15[[#This Row],[test]]&amp;"@"&amp;Table15[[#This Row],[corpus]]</f>
        <v>perfexp-cfa-pal-ll-share-na@corpus-1-50-1.txt</v>
      </c>
      <c r="C12" s="5" t="s">
        <v>66</v>
      </c>
      <c r="D12" s="5" t="s">
        <v>61</v>
      </c>
      <c r="E12" s="5">
        <v>0.5</v>
      </c>
      <c r="F12" s="5" t="s">
        <v>45</v>
      </c>
      <c r="G12" s="5">
        <v>1</v>
      </c>
      <c r="H12" s="5">
        <v>50</v>
      </c>
      <c r="I12" s="29">
        <v>227630000</v>
      </c>
      <c r="J12" s="33">
        <v>10.000235</v>
      </c>
      <c r="K12" s="13" t="str">
        <f>MID(Table15[[#This Row],[test]], LEN("perfexp-")+1, 9999)</f>
        <v>cfa-pal-ll-share-na</v>
      </c>
      <c r="L12" s="1">
        <f>FIND("-p", Table15[[#This Row],[test-allvar]])+LEN("-")</f>
        <v>5</v>
      </c>
      <c r="M12" s="1" t="str">
        <f>MID(Table15[[#This Row],[test-allvar]], Table15[[#This Row],[operation-idx]], LEN("pta"))</f>
        <v>pal</v>
      </c>
      <c r="N12" s="1" t="str">
        <f>LEFT(Table15[[#This Row],[test-allvar]], Table15[[#This Row],[operation-idx]]-LEN("-")-1) &amp; MID(Table15[[#This Row],[test-allvar]], Table15[[#This Row],[operation-idx]]+LEN(Table15[[#This Row],[operation]]), 9999)</f>
        <v>cfa-ll-share-na</v>
      </c>
      <c r="O12" s="1" t="str">
        <f>IFERROR( LEFT(Table15[[#This Row],[sut]], FIND("-", Table15[[#This Row],[sut]])-1), Table15[[#This Row],[sut]])</f>
        <v>cfa</v>
      </c>
      <c r="P12" s="1" t="str">
        <f>IF(Table15[[#This Row],[sut-platform]]="cfa", MID(Table15[[#This Row],[sut]], 5, 2), "~na~")</f>
        <v>ll</v>
      </c>
      <c r="Q12" s="1" t="str">
        <f>IF(Table15[[#This Row],[sut-platform]]="cfa", MID(Table15[[#This Row],[sut]], 8, 999), Table15[[#This Row],[sut-cfa-level]])</f>
        <v>share-na</v>
      </c>
      <c r="R12" s="1" t="str">
        <f>IF(Table15[[#This Row],[sut-platform]]="cfa", LEFT(Table15[[#This Row],[suffix-cfa-sharing-alloc]], FIND("-",Table15[[#This Row],[suffix-cfa-sharing-alloc]])-1), "~na~")</f>
        <v>share</v>
      </c>
      <c r="S12" s="1" t="str">
        <f>RIGHT(Table15[[#This Row],[test-allvar]],LEN(Table15[[#This Row],[test-allvar]])-FIND("@",SUBSTITUTE(Table15[[#This Row],[test-allvar]],"-","@",LEN(Table15[[#This Row],[test-allvar]])-LEN(SUBSTITUTE(Table15[[#This Row],[test-allvar]],"-",""))),1))</f>
        <v>na</v>
      </c>
      <c r="T12" s="1" t="str">
        <f>MID(Table15[[#This Row],[corpus]], LEN("corpus-")+1, 999)</f>
        <v>1-50-1.txt</v>
      </c>
      <c r="U12" s="1" t="str">
        <f>LEFT(Table15[[#This Row],[corpus-varsuffix]], FIND(".txt", Table15[[#This Row],[corpus-varsuffix]])-1)</f>
        <v>1-50-1</v>
      </c>
      <c r="V12" s="1">
        <f>INT(LEFT(Table15[[#This Row],[corpus-allvar]], FIND("-", Table15[[#This Row],[corpus-varsuffix]])-1))</f>
        <v>1</v>
      </c>
      <c r="W12" s="1" t="str">
        <f>MID(Table15[[#This Row],[corpus-allvar]], LEN(Table15[[#This Row],[corpus-nstrs]])+2, 999)</f>
        <v>50-1</v>
      </c>
      <c r="X12" s="1">
        <f>INT(LEFT(Table15[[#This Row],[corpus-varsuffix2]], FIND("-", Table15[[#This Row],[corpus-varsuffix2]])-1))</f>
        <v>50</v>
      </c>
      <c r="Y12" s="1">
        <f>INT(MID(Table15[[#This Row],[corpus-varsuffix2]], LEN(Table15[[#This Row],[corpus-meanlen]])+2, 999))</f>
        <v>1</v>
      </c>
      <c r="Z12" s="4">
        <f>Table15[[#This Row],[concatDoneActualCount]]/Table15[[#This Row],[execTimeActualSec]]</f>
        <v>22762465.08207057</v>
      </c>
      <c r="AA12" s="4">
        <f>CONVERT(Table15[[#This Row],[execTimeActualSec]]/Table15[[#This Row],[concatDoneActualCount]], "s", "ns")</f>
        <v>43.931972938540611</v>
      </c>
      <c r="AB12" s="1" t="str">
        <f>Table15[[#This Row],[corpus-meanlen]]&amp;"-"&amp;Table15[[#This Row],[heapGrowThreshold]]</f>
        <v>50-0.5</v>
      </c>
      <c r="AC12" s="1">
        <f>INDEX(importmem[seclast_req_mem], MATCH(Table15[[#This Row],[memrowid]], importmem[rowid], 0))</f>
        <v>139966</v>
      </c>
      <c r="AD12" s="1" t="str">
        <f>IF(Table15[[#This Row],[corpusMeanLenChars]]=20, Table15[[#This Row],[mem-amt]], "")</f>
        <v/>
      </c>
      <c r="AE12" s="1">
        <f>IF(Table15[[#This Row],[corpusMeanLenChars]]=50, Table15[[#This Row],[mem-amt]], "")</f>
        <v>139966</v>
      </c>
      <c r="AF12" s="1" t="str">
        <f>IF(Table15[[#This Row],[corpusMeanLenChars]]=100, Table15[[#This Row],[mem-amt]], "")</f>
        <v/>
      </c>
      <c r="AG12" s="1" t="str">
        <f>IF(Table15[[#This Row],[corpusMeanLenChars]]=200, Table15[[#This Row],[mem-amt]], "")</f>
        <v/>
      </c>
      <c r="AH12" s="1" t="str">
        <f>IF(Table15[[#This Row],[corpusMeanLenChars]]=500, Table15[[#This Row],[mem-amt]], "")</f>
        <v/>
      </c>
    </row>
    <row r="13" spans="1:34" x14ac:dyDescent="0.25">
      <c r="A13" s="1" t="s">
        <v>71</v>
      </c>
      <c r="B13" s="1" t="str">
        <f>Table15[[#This Row],[test]]&amp;"@"&amp;Table15[[#This Row],[corpus]]</f>
        <v>perfexp-cfa-pal-ll-share-na@corpus-1-50-1.txt</v>
      </c>
      <c r="C13" s="5" t="s">
        <v>66</v>
      </c>
      <c r="D13" s="5" t="s">
        <v>61</v>
      </c>
      <c r="E13" s="5">
        <v>0.9</v>
      </c>
      <c r="F13" s="5" t="s">
        <v>45</v>
      </c>
      <c r="G13" s="5">
        <v>1</v>
      </c>
      <c r="H13" s="5">
        <v>50</v>
      </c>
      <c r="I13" s="29">
        <v>179660000</v>
      </c>
      <c r="J13" s="33">
        <v>10.000283</v>
      </c>
      <c r="K13" s="13" t="str">
        <f>MID(Table15[[#This Row],[test]], LEN("perfexp-")+1, 9999)</f>
        <v>cfa-pal-ll-share-na</v>
      </c>
      <c r="L13" s="1">
        <f>FIND("-p", Table15[[#This Row],[test-allvar]])+LEN("-")</f>
        <v>5</v>
      </c>
      <c r="M13" s="1" t="str">
        <f>MID(Table15[[#This Row],[test-allvar]], Table15[[#This Row],[operation-idx]], LEN("pta"))</f>
        <v>pal</v>
      </c>
      <c r="N13" s="1" t="str">
        <f>LEFT(Table15[[#This Row],[test-allvar]], Table15[[#This Row],[operation-idx]]-LEN("-")-1) &amp; MID(Table15[[#This Row],[test-allvar]], Table15[[#This Row],[operation-idx]]+LEN(Table15[[#This Row],[operation]]), 9999)</f>
        <v>cfa-ll-share-na</v>
      </c>
      <c r="O13" s="1" t="str">
        <f>IFERROR( LEFT(Table15[[#This Row],[sut]], FIND("-", Table15[[#This Row],[sut]])-1), Table15[[#This Row],[sut]])</f>
        <v>cfa</v>
      </c>
      <c r="P13" s="1" t="str">
        <f>IF(Table15[[#This Row],[sut-platform]]="cfa", MID(Table15[[#This Row],[sut]], 5, 2), "~na~")</f>
        <v>ll</v>
      </c>
      <c r="Q13" s="1" t="str">
        <f>IF(Table15[[#This Row],[sut-platform]]="cfa", MID(Table15[[#This Row],[sut]], 8, 999), Table15[[#This Row],[sut-cfa-level]])</f>
        <v>share-na</v>
      </c>
      <c r="R13" s="1" t="str">
        <f>IF(Table15[[#This Row],[sut-platform]]="cfa", LEFT(Table15[[#This Row],[suffix-cfa-sharing-alloc]], FIND("-",Table15[[#This Row],[suffix-cfa-sharing-alloc]])-1), "~na~")</f>
        <v>share</v>
      </c>
      <c r="S13" s="1" t="str">
        <f>RIGHT(Table15[[#This Row],[test-allvar]],LEN(Table15[[#This Row],[test-allvar]])-FIND("@",SUBSTITUTE(Table15[[#This Row],[test-allvar]],"-","@",LEN(Table15[[#This Row],[test-allvar]])-LEN(SUBSTITUTE(Table15[[#This Row],[test-allvar]],"-",""))),1))</f>
        <v>na</v>
      </c>
      <c r="T13" s="1" t="str">
        <f>MID(Table15[[#This Row],[corpus]], LEN("corpus-")+1, 999)</f>
        <v>1-50-1.txt</v>
      </c>
      <c r="U13" s="1" t="str">
        <f>LEFT(Table15[[#This Row],[corpus-varsuffix]], FIND(".txt", Table15[[#This Row],[corpus-varsuffix]])-1)</f>
        <v>1-50-1</v>
      </c>
      <c r="V13" s="1">
        <f>INT(LEFT(Table15[[#This Row],[corpus-allvar]], FIND("-", Table15[[#This Row],[corpus-varsuffix]])-1))</f>
        <v>1</v>
      </c>
      <c r="W13" s="1" t="str">
        <f>MID(Table15[[#This Row],[corpus-allvar]], LEN(Table15[[#This Row],[corpus-nstrs]])+2, 999)</f>
        <v>50-1</v>
      </c>
      <c r="X13" s="1">
        <f>INT(LEFT(Table15[[#This Row],[corpus-varsuffix2]], FIND("-", Table15[[#This Row],[corpus-varsuffix2]])-1))</f>
        <v>50</v>
      </c>
      <c r="Y13" s="1">
        <f>INT(MID(Table15[[#This Row],[corpus-varsuffix2]], LEN(Table15[[#This Row],[corpus-meanlen]])+2, 999))</f>
        <v>1</v>
      </c>
      <c r="Z13" s="4">
        <f>Table15[[#This Row],[concatDoneActualCount]]/Table15[[#This Row],[execTimeActualSec]]</f>
        <v>17965491.576588385</v>
      </c>
      <c r="AA13" s="4">
        <f>CONVERT(Table15[[#This Row],[execTimeActualSec]]/Table15[[#This Row],[concatDoneActualCount]], "s", "ns")</f>
        <v>55.662267616609149</v>
      </c>
      <c r="AB13" s="1" t="str">
        <f>Table15[[#This Row],[corpus-meanlen]]&amp;"-"&amp;Table15[[#This Row],[heapGrowThreshold]]</f>
        <v>50-0.9</v>
      </c>
      <c r="AC13" s="1">
        <f>INDEX(importmem[seclast_req_mem], MATCH(Table15[[#This Row],[memrowid]], importmem[rowid], 0))</f>
        <v>75966</v>
      </c>
      <c r="AD13" s="1" t="str">
        <f>IF(Table15[[#This Row],[corpusMeanLenChars]]=20, Table15[[#This Row],[mem-amt]], "")</f>
        <v/>
      </c>
      <c r="AE13" s="1">
        <f>IF(Table15[[#This Row],[corpusMeanLenChars]]=50, Table15[[#This Row],[mem-amt]], "")</f>
        <v>75966</v>
      </c>
      <c r="AF13" s="1" t="str">
        <f>IF(Table15[[#This Row],[corpusMeanLenChars]]=100, Table15[[#This Row],[mem-amt]], "")</f>
        <v/>
      </c>
      <c r="AG13" s="1" t="str">
        <f>IF(Table15[[#This Row],[corpusMeanLenChars]]=200, Table15[[#This Row],[mem-amt]], "")</f>
        <v/>
      </c>
      <c r="AH13" s="1" t="str">
        <f>IF(Table15[[#This Row],[corpusMeanLenChars]]=500, Table15[[#This Row],[mem-amt]], "")</f>
        <v/>
      </c>
    </row>
    <row r="14" spans="1:34" x14ac:dyDescent="0.25">
      <c r="A14" s="1" t="s">
        <v>70</v>
      </c>
      <c r="B14" s="1" t="str">
        <f>Table15[[#This Row],[test]]&amp;"@"&amp;Table15[[#This Row],[corpus]]</f>
        <v>perfexp-cfa-pal-ll-share-na@corpus-1-100-1.txt</v>
      </c>
      <c r="C14" s="5" t="s">
        <v>66</v>
      </c>
      <c r="D14" s="5" t="s">
        <v>56</v>
      </c>
      <c r="E14" s="5">
        <v>0.02</v>
      </c>
      <c r="F14" s="5" t="s">
        <v>45</v>
      </c>
      <c r="G14" s="5">
        <v>1</v>
      </c>
      <c r="H14" s="5">
        <v>100</v>
      </c>
      <c r="I14">
        <v>189160000</v>
      </c>
      <c r="J14" s="33">
        <v>10.000014999999999</v>
      </c>
      <c r="K14" t="str">
        <f>MID(Table15[[#This Row],[test]], LEN("perfexp-")+1, 9999)</f>
        <v>cfa-pal-ll-share-na</v>
      </c>
      <c r="L14">
        <f>FIND("-p", Table15[[#This Row],[test-allvar]])+LEN("-")</f>
        <v>5</v>
      </c>
      <c r="M14" t="str">
        <f>MID(Table15[[#This Row],[test-allvar]], Table15[[#This Row],[operation-idx]], LEN("pta"))</f>
        <v>pal</v>
      </c>
      <c r="N14" s="1" t="str">
        <f>LEFT(Table15[[#This Row],[test-allvar]], Table15[[#This Row],[operation-idx]]-LEN("-")-1) &amp; MID(Table15[[#This Row],[test-allvar]], Table15[[#This Row],[operation-idx]]+LEN(Table15[[#This Row],[operation]]), 9999)</f>
        <v>cfa-ll-share-na</v>
      </c>
      <c r="O14" s="1" t="str">
        <f>IFERROR( LEFT(Table15[[#This Row],[sut]], FIND("-", Table15[[#This Row],[sut]])-1), Table15[[#This Row],[sut]])</f>
        <v>cfa</v>
      </c>
      <c r="P14" s="1" t="str">
        <f>IF(Table15[[#This Row],[sut-platform]]="cfa", MID(Table15[[#This Row],[sut]], 5, 2), "~na~")</f>
        <v>ll</v>
      </c>
      <c r="Q14" s="1" t="str">
        <f>IF(Table15[[#This Row],[sut-platform]]="cfa", MID(Table15[[#This Row],[sut]], 8, 999), Table15[[#This Row],[sut-cfa-level]])</f>
        <v>share-na</v>
      </c>
      <c r="R14" s="1" t="str">
        <f>IF(Table15[[#This Row],[sut-platform]]="cfa", LEFT(Table15[[#This Row],[suffix-cfa-sharing-alloc]], FIND("-",Table15[[#This Row],[suffix-cfa-sharing-alloc]])-1), "~na~")</f>
        <v>share</v>
      </c>
      <c r="S14" s="1" t="str">
        <f>RIGHT(Table15[[#This Row],[test-allvar]],LEN(Table15[[#This Row],[test-allvar]])-FIND("@",SUBSTITUTE(Table15[[#This Row],[test-allvar]],"-","@",LEN(Table15[[#This Row],[test-allvar]])-LEN(SUBSTITUTE(Table15[[#This Row],[test-allvar]],"-",""))),1))</f>
        <v>na</v>
      </c>
      <c r="T14" s="1" t="str">
        <f>MID(Table15[[#This Row],[corpus]], LEN("corpus-")+1, 999)</f>
        <v>1-100-1.txt</v>
      </c>
      <c r="U14" s="1" t="str">
        <f>LEFT(Table15[[#This Row],[corpus-varsuffix]], FIND(".txt", Table15[[#This Row],[corpus-varsuffix]])-1)</f>
        <v>1-100-1</v>
      </c>
      <c r="V14" s="1">
        <f>INT(LEFT(Table15[[#This Row],[corpus-allvar]], FIND("-", Table15[[#This Row],[corpus-varsuffix]])-1))</f>
        <v>1</v>
      </c>
      <c r="W14" s="1" t="str">
        <f>MID(Table15[[#This Row],[corpus-allvar]], LEN(Table15[[#This Row],[corpus-nstrs]])+2, 999)</f>
        <v>100-1</v>
      </c>
      <c r="X14" s="1">
        <f>INT(LEFT(Table15[[#This Row],[corpus-varsuffix2]], FIND("-", Table15[[#This Row],[corpus-varsuffix2]])-1))</f>
        <v>100</v>
      </c>
      <c r="Y14" s="1">
        <f>INT(MID(Table15[[#This Row],[corpus-varsuffix2]], LEN(Table15[[#This Row],[corpus-meanlen]])+2, 999))</f>
        <v>1</v>
      </c>
      <c r="Z14" s="4">
        <f>Table15[[#This Row],[concatDoneActualCount]]/Table15[[#This Row],[execTimeActualSec]]</f>
        <v>18915971.626042563</v>
      </c>
      <c r="AA14" s="4">
        <f>CONVERT(Table15[[#This Row],[execTimeActualSec]]/Table15[[#This Row],[concatDoneActualCount]], "s", "ns")</f>
        <v>52.865378515542396</v>
      </c>
      <c r="AB14" s="1" t="str">
        <f>Table15[[#This Row],[corpus-meanlen]]&amp;"-"&amp;Table15[[#This Row],[heapGrowThreshold]]</f>
        <v>100-0.02</v>
      </c>
      <c r="AC14" s="1">
        <f>INDEX(importmem[seclast_req_mem], MATCH(Table15[[#This Row],[memrowid]], importmem[rowid], 0))</f>
        <v>8203966</v>
      </c>
      <c r="AD14" s="1" t="str">
        <f>IF(Table15[[#This Row],[corpusMeanLenChars]]=20, Table15[[#This Row],[mem-amt]], "")</f>
        <v/>
      </c>
      <c r="AE14" s="1" t="str">
        <f>IF(Table15[[#This Row],[corpusMeanLenChars]]=50, Table15[[#This Row],[mem-amt]], "")</f>
        <v/>
      </c>
      <c r="AF14" s="1">
        <f>IF(Table15[[#This Row],[corpusMeanLenChars]]=100, Table15[[#This Row],[mem-amt]], "")</f>
        <v>8203966</v>
      </c>
      <c r="AG14" s="1" t="str">
        <f>IF(Table15[[#This Row],[corpusMeanLenChars]]=200, Table15[[#This Row],[mem-amt]], "")</f>
        <v/>
      </c>
      <c r="AH14" s="1" t="str">
        <f>IF(Table15[[#This Row],[corpusMeanLenChars]]=500, Table15[[#This Row],[mem-amt]], "")</f>
        <v/>
      </c>
    </row>
    <row r="15" spans="1:34" x14ac:dyDescent="0.25">
      <c r="A15" s="1" t="s">
        <v>70</v>
      </c>
      <c r="B15" s="1" t="str">
        <f>Table15[[#This Row],[test]]&amp;"@"&amp;Table15[[#This Row],[corpus]]</f>
        <v>perfexp-cfa-pal-ll-share-na@corpus-1-100-1.txt</v>
      </c>
      <c r="C15" s="5" t="s">
        <v>66</v>
      </c>
      <c r="D15" s="5" t="s">
        <v>56</v>
      </c>
      <c r="E15" s="5">
        <v>0.05</v>
      </c>
      <c r="F15" s="5" t="s">
        <v>45</v>
      </c>
      <c r="G15" s="5">
        <v>1</v>
      </c>
      <c r="H15" s="5">
        <v>100</v>
      </c>
      <c r="I15">
        <v>192370000</v>
      </c>
      <c r="J15" s="33">
        <v>10.000189000000001</v>
      </c>
      <c r="K15" t="str">
        <f>MID(Table15[[#This Row],[test]], LEN("perfexp-")+1, 9999)</f>
        <v>cfa-pal-ll-share-na</v>
      </c>
      <c r="L15">
        <f>FIND("-p", Table15[[#This Row],[test-allvar]])+LEN("-")</f>
        <v>5</v>
      </c>
      <c r="M15" t="str">
        <f>MID(Table15[[#This Row],[test-allvar]], Table15[[#This Row],[operation-idx]], LEN("pta"))</f>
        <v>pal</v>
      </c>
      <c r="N15" s="1" t="str">
        <f>LEFT(Table15[[#This Row],[test-allvar]], Table15[[#This Row],[operation-idx]]-LEN("-")-1) &amp; MID(Table15[[#This Row],[test-allvar]], Table15[[#This Row],[operation-idx]]+LEN(Table15[[#This Row],[operation]]), 9999)</f>
        <v>cfa-ll-share-na</v>
      </c>
      <c r="O15" s="1" t="str">
        <f>IFERROR( LEFT(Table15[[#This Row],[sut]], FIND("-", Table15[[#This Row],[sut]])-1), Table15[[#This Row],[sut]])</f>
        <v>cfa</v>
      </c>
      <c r="P15" s="1" t="str">
        <f>IF(Table15[[#This Row],[sut-platform]]="cfa", MID(Table15[[#This Row],[sut]], 5, 2), "~na~")</f>
        <v>ll</v>
      </c>
      <c r="Q15" s="1" t="str">
        <f>IF(Table15[[#This Row],[sut-platform]]="cfa", MID(Table15[[#This Row],[sut]], 8, 999), Table15[[#This Row],[sut-cfa-level]])</f>
        <v>share-na</v>
      </c>
      <c r="R15" s="1" t="str">
        <f>IF(Table15[[#This Row],[sut-platform]]="cfa", LEFT(Table15[[#This Row],[suffix-cfa-sharing-alloc]], FIND("-",Table15[[#This Row],[suffix-cfa-sharing-alloc]])-1), "~na~")</f>
        <v>share</v>
      </c>
      <c r="S15" s="1" t="str">
        <f>RIGHT(Table15[[#This Row],[test-allvar]],LEN(Table15[[#This Row],[test-allvar]])-FIND("@",SUBSTITUTE(Table15[[#This Row],[test-allvar]],"-","@",LEN(Table15[[#This Row],[test-allvar]])-LEN(SUBSTITUTE(Table15[[#This Row],[test-allvar]],"-",""))),1))</f>
        <v>na</v>
      </c>
      <c r="T15" s="1" t="str">
        <f>MID(Table15[[#This Row],[corpus]], LEN("corpus-")+1, 999)</f>
        <v>1-100-1.txt</v>
      </c>
      <c r="U15" s="1" t="str">
        <f>LEFT(Table15[[#This Row],[corpus-varsuffix]], FIND(".txt", Table15[[#This Row],[corpus-varsuffix]])-1)</f>
        <v>1-100-1</v>
      </c>
      <c r="V15" s="1">
        <f>INT(LEFT(Table15[[#This Row],[corpus-allvar]], FIND("-", Table15[[#This Row],[corpus-varsuffix]])-1))</f>
        <v>1</v>
      </c>
      <c r="W15" s="1" t="str">
        <f>MID(Table15[[#This Row],[corpus-allvar]], LEN(Table15[[#This Row],[corpus-nstrs]])+2, 999)</f>
        <v>100-1</v>
      </c>
      <c r="X15" s="1">
        <f>INT(LEFT(Table15[[#This Row],[corpus-varsuffix2]], FIND("-", Table15[[#This Row],[corpus-varsuffix2]])-1))</f>
        <v>100</v>
      </c>
      <c r="Y15" s="1">
        <f>INT(MID(Table15[[#This Row],[corpus-varsuffix2]], LEN(Table15[[#This Row],[corpus-meanlen]])+2, 999))</f>
        <v>1</v>
      </c>
      <c r="Z15" s="4">
        <f>Table15[[#This Row],[concatDoneActualCount]]/Table15[[#This Row],[execTimeActualSec]]</f>
        <v>19236636.427571516</v>
      </c>
      <c r="AA15" s="4">
        <f>CONVERT(Table15[[#This Row],[execTimeActualSec]]/Table15[[#This Row],[concatDoneActualCount]], "s", "ns")</f>
        <v>51.984139938659872</v>
      </c>
      <c r="AB15" s="1" t="str">
        <f>Table15[[#This Row],[corpus-meanlen]]&amp;"-"&amp;Table15[[#This Row],[heapGrowThreshold]]</f>
        <v>100-0.05</v>
      </c>
      <c r="AC15" s="1">
        <f>INDEX(importmem[seclast_req_mem], MATCH(Table15[[#This Row],[memrowid]], importmem[rowid], 0))</f>
        <v>2059966</v>
      </c>
      <c r="AD15" s="1" t="str">
        <f>IF(Table15[[#This Row],[corpusMeanLenChars]]=20, Table15[[#This Row],[mem-amt]], "")</f>
        <v/>
      </c>
      <c r="AE15" s="1" t="str">
        <f>IF(Table15[[#This Row],[corpusMeanLenChars]]=50, Table15[[#This Row],[mem-amt]], "")</f>
        <v/>
      </c>
      <c r="AF15" s="1">
        <f>IF(Table15[[#This Row],[corpusMeanLenChars]]=100, Table15[[#This Row],[mem-amt]], "")</f>
        <v>2059966</v>
      </c>
      <c r="AG15" s="1" t="str">
        <f>IF(Table15[[#This Row],[corpusMeanLenChars]]=200, Table15[[#This Row],[mem-amt]], "")</f>
        <v/>
      </c>
      <c r="AH15" s="1" t="str">
        <f>IF(Table15[[#This Row],[corpusMeanLenChars]]=500, Table15[[#This Row],[mem-amt]], "")</f>
        <v/>
      </c>
    </row>
    <row r="16" spans="1:34" x14ac:dyDescent="0.25">
      <c r="A16" s="1" t="s">
        <v>70</v>
      </c>
      <c r="B16" s="1" t="str">
        <f>Table15[[#This Row],[test]]&amp;"@"&amp;Table15[[#This Row],[corpus]]</f>
        <v>perfexp-cfa-pal-ll-share-na@corpus-1-100-1.txt</v>
      </c>
      <c r="C16" s="5" t="s">
        <v>66</v>
      </c>
      <c r="D16" s="27" t="s">
        <v>56</v>
      </c>
      <c r="E16" s="27">
        <v>0.1</v>
      </c>
      <c r="F16" s="5" t="s">
        <v>45</v>
      </c>
      <c r="G16" s="5">
        <v>1</v>
      </c>
      <c r="H16" s="5">
        <v>100</v>
      </c>
      <c r="I16">
        <v>200350000</v>
      </c>
      <c r="J16" s="33">
        <v>10.000149</v>
      </c>
      <c r="K16" t="str">
        <f>MID(Table15[[#This Row],[test]], LEN("perfexp-")+1, 9999)</f>
        <v>cfa-pal-ll-share-na</v>
      </c>
      <c r="L16">
        <f>FIND("-p", Table15[[#This Row],[test-allvar]])+LEN("-")</f>
        <v>5</v>
      </c>
      <c r="M16" t="str">
        <f>MID(Table15[[#This Row],[test-allvar]], Table15[[#This Row],[operation-idx]], LEN("pta"))</f>
        <v>pal</v>
      </c>
      <c r="N16" s="1" t="str">
        <f>LEFT(Table15[[#This Row],[test-allvar]], Table15[[#This Row],[operation-idx]]-LEN("-")-1) &amp; MID(Table15[[#This Row],[test-allvar]], Table15[[#This Row],[operation-idx]]+LEN(Table15[[#This Row],[operation]]), 9999)</f>
        <v>cfa-ll-share-na</v>
      </c>
      <c r="O16" s="1" t="str">
        <f>IFERROR( LEFT(Table15[[#This Row],[sut]], FIND("-", Table15[[#This Row],[sut]])-1), Table15[[#This Row],[sut]])</f>
        <v>cfa</v>
      </c>
      <c r="P16" s="1" t="str">
        <f>IF(Table15[[#This Row],[sut-platform]]="cfa", MID(Table15[[#This Row],[sut]], 5, 2), "~na~")</f>
        <v>ll</v>
      </c>
      <c r="Q16" s="1" t="str">
        <f>IF(Table15[[#This Row],[sut-platform]]="cfa", MID(Table15[[#This Row],[sut]], 8, 999), Table15[[#This Row],[sut-cfa-level]])</f>
        <v>share-na</v>
      </c>
      <c r="R16" s="1" t="str">
        <f>IF(Table15[[#This Row],[sut-platform]]="cfa", LEFT(Table15[[#This Row],[suffix-cfa-sharing-alloc]], FIND("-",Table15[[#This Row],[suffix-cfa-sharing-alloc]])-1), "~na~")</f>
        <v>share</v>
      </c>
      <c r="S16" s="1" t="str">
        <f>RIGHT(Table15[[#This Row],[test-allvar]],LEN(Table15[[#This Row],[test-allvar]])-FIND("@",SUBSTITUTE(Table15[[#This Row],[test-allvar]],"-","@",LEN(Table15[[#This Row],[test-allvar]])-LEN(SUBSTITUTE(Table15[[#This Row],[test-allvar]],"-",""))),1))</f>
        <v>na</v>
      </c>
      <c r="T16" s="1" t="str">
        <f>MID(Table15[[#This Row],[corpus]], LEN("corpus-")+1, 999)</f>
        <v>1-100-1.txt</v>
      </c>
      <c r="U16" s="1" t="str">
        <f>LEFT(Table15[[#This Row],[corpus-varsuffix]], FIND(".txt", Table15[[#This Row],[corpus-varsuffix]])-1)</f>
        <v>1-100-1</v>
      </c>
      <c r="V16" s="1">
        <f>INT(LEFT(Table15[[#This Row],[corpus-allvar]], FIND("-", Table15[[#This Row],[corpus-varsuffix]])-1))</f>
        <v>1</v>
      </c>
      <c r="W16" s="1" t="str">
        <f>MID(Table15[[#This Row],[corpus-allvar]], LEN(Table15[[#This Row],[corpus-nstrs]])+2, 999)</f>
        <v>100-1</v>
      </c>
      <c r="X16" s="1">
        <f>INT(LEFT(Table15[[#This Row],[corpus-varsuffix2]], FIND("-", Table15[[#This Row],[corpus-varsuffix2]])-1))</f>
        <v>100</v>
      </c>
      <c r="Y16" s="1">
        <f>INT(MID(Table15[[#This Row],[corpus-varsuffix2]], LEN(Table15[[#This Row],[corpus-meanlen]])+2, 999))</f>
        <v>1</v>
      </c>
      <c r="Z16" s="4">
        <f>Table15[[#This Row],[concatDoneActualCount]]/Table15[[#This Row],[execTimeActualSec]]</f>
        <v>20034701.482947905</v>
      </c>
      <c r="AA16" s="4">
        <f>CONVERT(Table15[[#This Row],[execTimeActualSec]]/Table15[[#This Row],[concatDoneActualCount]], "s", "ns")</f>
        <v>49.913396556026953</v>
      </c>
      <c r="AB16" s="1" t="str">
        <f>Table15[[#This Row],[corpus-meanlen]]&amp;"-"&amp;Table15[[#This Row],[heapGrowThreshold]]</f>
        <v>100-0.1</v>
      </c>
      <c r="AC16" s="1">
        <f>INDEX(importmem[seclast_req_mem], MATCH(Table15[[#This Row],[memrowid]], importmem[rowid], 0))</f>
        <v>1035966</v>
      </c>
      <c r="AD16" s="1" t="str">
        <f>IF(Table15[[#This Row],[corpusMeanLenChars]]=20, Table15[[#This Row],[mem-amt]], "")</f>
        <v/>
      </c>
      <c r="AE16" s="1" t="str">
        <f>IF(Table15[[#This Row],[corpusMeanLenChars]]=50, Table15[[#This Row],[mem-amt]], "")</f>
        <v/>
      </c>
      <c r="AF16" s="1">
        <f>IF(Table15[[#This Row],[corpusMeanLenChars]]=100, Table15[[#This Row],[mem-amt]], "")</f>
        <v>1035966</v>
      </c>
      <c r="AG16" s="1" t="str">
        <f>IF(Table15[[#This Row],[corpusMeanLenChars]]=200, Table15[[#This Row],[mem-amt]], "")</f>
        <v/>
      </c>
      <c r="AH16" s="1" t="str">
        <f>IF(Table15[[#This Row],[corpusMeanLenChars]]=500, Table15[[#This Row],[mem-amt]], "")</f>
        <v/>
      </c>
    </row>
    <row r="17" spans="1:34" x14ac:dyDescent="0.25">
      <c r="A17" s="1" t="s">
        <v>70</v>
      </c>
      <c r="B17" s="1" t="str">
        <f>Table15[[#This Row],[test]]&amp;"@"&amp;Table15[[#This Row],[corpus]]</f>
        <v>perfexp-cfa-pal-ll-share-na@corpus-1-100-1.txt</v>
      </c>
      <c r="C17" s="5" t="s">
        <v>66</v>
      </c>
      <c r="D17" s="5" t="s">
        <v>56</v>
      </c>
      <c r="E17" s="5">
        <v>0.2</v>
      </c>
      <c r="F17" s="5" t="s">
        <v>45</v>
      </c>
      <c r="G17" s="5">
        <v>1</v>
      </c>
      <c r="H17" s="5">
        <v>100</v>
      </c>
      <c r="I17">
        <v>189490000</v>
      </c>
      <c r="J17" s="33">
        <v>10.000173999999999</v>
      </c>
      <c r="K17" t="str">
        <f>MID(Table15[[#This Row],[test]], LEN("perfexp-")+1, 9999)</f>
        <v>cfa-pal-ll-share-na</v>
      </c>
      <c r="L17">
        <f>FIND("-p", Table15[[#This Row],[test-allvar]])+LEN("-")</f>
        <v>5</v>
      </c>
      <c r="M17" t="str">
        <f>MID(Table15[[#This Row],[test-allvar]], Table15[[#This Row],[operation-idx]], LEN("pta"))</f>
        <v>pal</v>
      </c>
      <c r="N17" s="1" t="str">
        <f>LEFT(Table15[[#This Row],[test-allvar]], Table15[[#This Row],[operation-idx]]-LEN("-")-1) &amp; MID(Table15[[#This Row],[test-allvar]], Table15[[#This Row],[operation-idx]]+LEN(Table15[[#This Row],[operation]]), 9999)</f>
        <v>cfa-ll-share-na</v>
      </c>
      <c r="O17" s="1" t="str">
        <f>IFERROR( LEFT(Table15[[#This Row],[sut]], FIND("-", Table15[[#This Row],[sut]])-1), Table15[[#This Row],[sut]])</f>
        <v>cfa</v>
      </c>
      <c r="P17" s="1" t="str">
        <f>IF(Table15[[#This Row],[sut-platform]]="cfa", MID(Table15[[#This Row],[sut]], 5, 2), "~na~")</f>
        <v>ll</v>
      </c>
      <c r="Q17" s="1" t="str">
        <f>IF(Table15[[#This Row],[sut-platform]]="cfa", MID(Table15[[#This Row],[sut]], 8, 999), Table15[[#This Row],[sut-cfa-level]])</f>
        <v>share-na</v>
      </c>
      <c r="R17" s="1" t="str">
        <f>IF(Table15[[#This Row],[sut-platform]]="cfa", LEFT(Table15[[#This Row],[suffix-cfa-sharing-alloc]], FIND("-",Table15[[#This Row],[suffix-cfa-sharing-alloc]])-1), "~na~")</f>
        <v>share</v>
      </c>
      <c r="S17" s="1" t="str">
        <f>RIGHT(Table15[[#This Row],[test-allvar]],LEN(Table15[[#This Row],[test-allvar]])-FIND("@",SUBSTITUTE(Table15[[#This Row],[test-allvar]],"-","@",LEN(Table15[[#This Row],[test-allvar]])-LEN(SUBSTITUTE(Table15[[#This Row],[test-allvar]],"-",""))),1))</f>
        <v>na</v>
      </c>
      <c r="T17" s="1" t="str">
        <f>MID(Table15[[#This Row],[corpus]], LEN("corpus-")+1, 999)</f>
        <v>1-100-1.txt</v>
      </c>
      <c r="U17" s="1" t="str">
        <f>LEFT(Table15[[#This Row],[corpus-varsuffix]], FIND(".txt", Table15[[#This Row],[corpus-varsuffix]])-1)</f>
        <v>1-100-1</v>
      </c>
      <c r="V17" s="1">
        <f>INT(LEFT(Table15[[#This Row],[corpus-allvar]], FIND("-", Table15[[#This Row],[corpus-varsuffix]])-1))</f>
        <v>1</v>
      </c>
      <c r="W17" s="1" t="str">
        <f>MID(Table15[[#This Row],[corpus-allvar]], LEN(Table15[[#This Row],[corpus-nstrs]])+2, 999)</f>
        <v>100-1</v>
      </c>
      <c r="X17" s="1">
        <f>INT(LEFT(Table15[[#This Row],[corpus-varsuffix2]], FIND("-", Table15[[#This Row],[corpus-varsuffix2]])-1))</f>
        <v>100</v>
      </c>
      <c r="Y17" s="1">
        <f>INT(MID(Table15[[#This Row],[corpus-varsuffix2]], LEN(Table15[[#This Row],[corpus-meanlen]])+2, 999))</f>
        <v>1</v>
      </c>
      <c r="Z17" s="4">
        <f>Table15[[#This Row],[concatDoneActualCount]]/Table15[[#This Row],[execTimeActualSec]]</f>
        <v>18948670.293136902</v>
      </c>
      <c r="AA17" s="4">
        <f>CONVERT(Table15[[#This Row],[execTimeActualSec]]/Table15[[#This Row],[concatDoneActualCount]], "s", "ns")</f>
        <v>52.774151670272836</v>
      </c>
      <c r="AB17" s="1" t="str">
        <f>Table15[[#This Row],[corpus-meanlen]]&amp;"-"&amp;Table15[[#This Row],[heapGrowThreshold]]</f>
        <v>100-0.2</v>
      </c>
      <c r="AC17" s="1">
        <f>INDEX(importmem[seclast_req_mem], MATCH(Table15[[#This Row],[memrowid]], importmem[rowid], 0))</f>
        <v>523966</v>
      </c>
      <c r="AD17" s="1" t="str">
        <f>IF(Table15[[#This Row],[corpusMeanLenChars]]=20, Table15[[#This Row],[mem-amt]], "")</f>
        <v/>
      </c>
      <c r="AE17" s="1" t="str">
        <f>IF(Table15[[#This Row],[corpusMeanLenChars]]=50, Table15[[#This Row],[mem-amt]], "")</f>
        <v/>
      </c>
      <c r="AF17" s="1">
        <f>IF(Table15[[#This Row],[corpusMeanLenChars]]=100, Table15[[#This Row],[mem-amt]], "")</f>
        <v>523966</v>
      </c>
      <c r="AG17" s="1" t="str">
        <f>IF(Table15[[#This Row],[corpusMeanLenChars]]=200, Table15[[#This Row],[mem-amt]], "")</f>
        <v/>
      </c>
      <c r="AH17" s="1" t="str">
        <f>IF(Table15[[#This Row],[corpusMeanLenChars]]=500, Table15[[#This Row],[mem-amt]], "")</f>
        <v/>
      </c>
    </row>
    <row r="18" spans="1:34" x14ac:dyDescent="0.25">
      <c r="A18" s="1" t="s">
        <v>70</v>
      </c>
      <c r="B18" s="1" t="str">
        <f>Table15[[#This Row],[test]]&amp;"@"&amp;Table15[[#This Row],[corpus]]</f>
        <v>perfexp-cfa-pal-ll-share-na@corpus-1-100-1.txt</v>
      </c>
      <c r="C18" s="5" t="s">
        <v>66</v>
      </c>
      <c r="D18" s="5" t="s">
        <v>56</v>
      </c>
      <c r="E18" s="5">
        <v>0.5</v>
      </c>
      <c r="F18" s="5" t="s">
        <v>45</v>
      </c>
      <c r="G18" s="5">
        <v>1</v>
      </c>
      <c r="H18" s="5">
        <v>100</v>
      </c>
      <c r="I18">
        <v>177810000</v>
      </c>
      <c r="J18" s="33">
        <v>10.000429</v>
      </c>
      <c r="K18" t="str">
        <f>MID(Table15[[#This Row],[test]], LEN("perfexp-")+1, 9999)</f>
        <v>cfa-pal-ll-share-na</v>
      </c>
      <c r="L18">
        <f>FIND("-p", Table15[[#This Row],[test-allvar]])+LEN("-")</f>
        <v>5</v>
      </c>
      <c r="M18" t="str">
        <f>MID(Table15[[#This Row],[test-allvar]], Table15[[#This Row],[operation-idx]], LEN("pta"))</f>
        <v>pal</v>
      </c>
      <c r="N18" s="1" t="str">
        <f>LEFT(Table15[[#This Row],[test-allvar]], Table15[[#This Row],[operation-idx]]-LEN("-")-1) &amp; MID(Table15[[#This Row],[test-allvar]], Table15[[#This Row],[operation-idx]]+LEN(Table15[[#This Row],[operation]]), 9999)</f>
        <v>cfa-ll-share-na</v>
      </c>
      <c r="O18" s="1" t="str">
        <f>IFERROR( LEFT(Table15[[#This Row],[sut]], FIND("-", Table15[[#This Row],[sut]])-1), Table15[[#This Row],[sut]])</f>
        <v>cfa</v>
      </c>
      <c r="P18" s="1" t="str">
        <f>IF(Table15[[#This Row],[sut-platform]]="cfa", MID(Table15[[#This Row],[sut]], 5, 2), "~na~")</f>
        <v>ll</v>
      </c>
      <c r="Q18" s="1" t="str">
        <f>IF(Table15[[#This Row],[sut-platform]]="cfa", MID(Table15[[#This Row],[sut]], 8, 999), Table15[[#This Row],[sut-cfa-level]])</f>
        <v>share-na</v>
      </c>
      <c r="R18" s="1" t="str">
        <f>IF(Table15[[#This Row],[sut-platform]]="cfa", LEFT(Table15[[#This Row],[suffix-cfa-sharing-alloc]], FIND("-",Table15[[#This Row],[suffix-cfa-sharing-alloc]])-1), "~na~")</f>
        <v>share</v>
      </c>
      <c r="S18" s="1" t="str">
        <f>RIGHT(Table15[[#This Row],[test-allvar]],LEN(Table15[[#This Row],[test-allvar]])-FIND("@",SUBSTITUTE(Table15[[#This Row],[test-allvar]],"-","@",LEN(Table15[[#This Row],[test-allvar]])-LEN(SUBSTITUTE(Table15[[#This Row],[test-allvar]],"-",""))),1))</f>
        <v>na</v>
      </c>
      <c r="T18" s="1" t="str">
        <f>MID(Table15[[#This Row],[corpus]], LEN("corpus-")+1, 999)</f>
        <v>1-100-1.txt</v>
      </c>
      <c r="U18" s="1" t="str">
        <f>LEFT(Table15[[#This Row],[corpus-varsuffix]], FIND(".txt", Table15[[#This Row],[corpus-varsuffix]])-1)</f>
        <v>1-100-1</v>
      </c>
      <c r="V18" s="1">
        <f>INT(LEFT(Table15[[#This Row],[corpus-allvar]], FIND("-", Table15[[#This Row],[corpus-varsuffix]])-1))</f>
        <v>1</v>
      </c>
      <c r="W18" s="1" t="str">
        <f>MID(Table15[[#This Row],[corpus-allvar]], LEN(Table15[[#This Row],[corpus-nstrs]])+2, 999)</f>
        <v>100-1</v>
      </c>
      <c r="X18" s="1">
        <f>INT(LEFT(Table15[[#This Row],[corpus-varsuffix2]], FIND("-", Table15[[#This Row],[corpus-varsuffix2]])-1))</f>
        <v>100</v>
      </c>
      <c r="Y18" s="1">
        <f>INT(MID(Table15[[#This Row],[corpus-varsuffix2]], LEN(Table15[[#This Row],[corpus-meanlen]])+2, 999))</f>
        <v>1</v>
      </c>
      <c r="Z18" s="4">
        <f>Table15[[#This Row],[concatDoneActualCount]]/Table15[[#This Row],[execTimeActualSec]]</f>
        <v>17780237.227822926</v>
      </c>
      <c r="AA18" s="4">
        <f>CONVERT(Table15[[#This Row],[execTimeActualSec]]/Table15[[#This Row],[concatDoneActualCount]], "s", "ns")</f>
        <v>56.242219222765875</v>
      </c>
      <c r="AB18" s="1" t="str">
        <f>Table15[[#This Row],[corpus-meanlen]]&amp;"-"&amp;Table15[[#This Row],[heapGrowThreshold]]</f>
        <v>100-0.5</v>
      </c>
      <c r="AC18" s="1">
        <f>INDEX(importmem[seclast_req_mem], MATCH(Table15[[#This Row],[memrowid]], importmem[rowid], 0))</f>
        <v>267966</v>
      </c>
      <c r="AD18" s="1" t="str">
        <f>IF(Table15[[#This Row],[corpusMeanLenChars]]=20, Table15[[#This Row],[mem-amt]], "")</f>
        <v/>
      </c>
      <c r="AE18" s="1" t="str">
        <f>IF(Table15[[#This Row],[corpusMeanLenChars]]=50, Table15[[#This Row],[mem-amt]], "")</f>
        <v/>
      </c>
      <c r="AF18" s="1">
        <f>IF(Table15[[#This Row],[corpusMeanLenChars]]=100, Table15[[#This Row],[mem-amt]], "")</f>
        <v>267966</v>
      </c>
      <c r="AG18" s="1" t="str">
        <f>IF(Table15[[#This Row],[corpusMeanLenChars]]=200, Table15[[#This Row],[mem-amt]], "")</f>
        <v/>
      </c>
      <c r="AH18" s="1" t="str">
        <f>IF(Table15[[#This Row],[corpusMeanLenChars]]=500, Table15[[#This Row],[mem-amt]], "")</f>
        <v/>
      </c>
    </row>
    <row r="19" spans="1:34" x14ac:dyDescent="0.25">
      <c r="A19" s="1" t="s">
        <v>70</v>
      </c>
      <c r="B19" s="1" t="str">
        <f>Table15[[#This Row],[test]]&amp;"@"&amp;Table15[[#This Row],[corpus]]</f>
        <v>perfexp-cfa-pal-ll-share-na@corpus-1-100-1.txt</v>
      </c>
      <c r="C19" s="5" t="s">
        <v>66</v>
      </c>
      <c r="D19" s="26" t="s">
        <v>56</v>
      </c>
      <c r="E19" s="26">
        <v>0.9</v>
      </c>
      <c r="F19" s="5" t="s">
        <v>45</v>
      </c>
      <c r="G19" s="5">
        <v>1</v>
      </c>
      <c r="H19" s="5">
        <v>100</v>
      </c>
      <c r="I19">
        <v>145370000</v>
      </c>
      <c r="J19" s="33">
        <v>10.000560999999999</v>
      </c>
      <c r="K19" t="str">
        <f>MID(Table15[[#This Row],[test]], LEN("perfexp-")+1, 9999)</f>
        <v>cfa-pal-ll-share-na</v>
      </c>
      <c r="L19">
        <f>FIND("-p", Table15[[#This Row],[test-allvar]])+LEN("-")</f>
        <v>5</v>
      </c>
      <c r="M19" t="str">
        <f>MID(Table15[[#This Row],[test-allvar]], Table15[[#This Row],[operation-idx]], LEN("pta"))</f>
        <v>pal</v>
      </c>
      <c r="N19" s="1" t="str">
        <f>LEFT(Table15[[#This Row],[test-allvar]], Table15[[#This Row],[operation-idx]]-LEN("-")-1) &amp; MID(Table15[[#This Row],[test-allvar]], Table15[[#This Row],[operation-idx]]+LEN(Table15[[#This Row],[operation]]), 9999)</f>
        <v>cfa-ll-share-na</v>
      </c>
      <c r="O19" s="1" t="str">
        <f>IFERROR( LEFT(Table15[[#This Row],[sut]], FIND("-", Table15[[#This Row],[sut]])-1), Table15[[#This Row],[sut]])</f>
        <v>cfa</v>
      </c>
      <c r="P19" s="1" t="str">
        <f>IF(Table15[[#This Row],[sut-platform]]="cfa", MID(Table15[[#This Row],[sut]], 5, 2), "~na~")</f>
        <v>ll</v>
      </c>
      <c r="Q19" s="1" t="str">
        <f>IF(Table15[[#This Row],[sut-platform]]="cfa", MID(Table15[[#This Row],[sut]], 8, 999), Table15[[#This Row],[sut-cfa-level]])</f>
        <v>share-na</v>
      </c>
      <c r="R19" s="1" t="str">
        <f>IF(Table15[[#This Row],[sut-platform]]="cfa", LEFT(Table15[[#This Row],[suffix-cfa-sharing-alloc]], FIND("-",Table15[[#This Row],[suffix-cfa-sharing-alloc]])-1), "~na~")</f>
        <v>share</v>
      </c>
      <c r="S19" s="1" t="str">
        <f>RIGHT(Table15[[#This Row],[test-allvar]],LEN(Table15[[#This Row],[test-allvar]])-FIND("@",SUBSTITUTE(Table15[[#This Row],[test-allvar]],"-","@",LEN(Table15[[#This Row],[test-allvar]])-LEN(SUBSTITUTE(Table15[[#This Row],[test-allvar]],"-",""))),1))</f>
        <v>na</v>
      </c>
      <c r="T19" s="1" t="str">
        <f>MID(Table15[[#This Row],[corpus]], LEN("corpus-")+1, 999)</f>
        <v>1-100-1.txt</v>
      </c>
      <c r="U19" s="1" t="str">
        <f>LEFT(Table15[[#This Row],[corpus-varsuffix]], FIND(".txt", Table15[[#This Row],[corpus-varsuffix]])-1)</f>
        <v>1-100-1</v>
      </c>
      <c r="V19" s="1">
        <f>INT(LEFT(Table15[[#This Row],[corpus-allvar]], FIND("-", Table15[[#This Row],[corpus-varsuffix]])-1))</f>
        <v>1</v>
      </c>
      <c r="W19" s="1" t="str">
        <f>MID(Table15[[#This Row],[corpus-allvar]], LEN(Table15[[#This Row],[corpus-nstrs]])+2, 999)</f>
        <v>100-1</v>
      </c>
      <c r="X19" s="1">
        <f>INT(LEFT(Table15[[#This Row],[corpus-varsuffix2]], FIND("-", Table15[[#This Row],[corpus-varsuffix2]])-1))</f>
        <v>100</v>
      </c>
      <c r="Y19" s="1">
        <f>INT(MID(Table15[[#This Row],[corpus-varsuffix2]], LEN(Table15[[#This Row],[corpus-meanlen]])+2, 999))</f>
        <v>1</v>
      </c>
      <c r="Z19" s="4">
        <f>Table15[[#This Row],[concatDoneActualCount]]/Table15[[#This Row],[execTimeActualSec]]</f>
        <v>14536184.520048426</v>
      </c>
      <c r="AA19" s="4">
        <f>CONVERT(Table15[[#This Row],[execTimeActualSec]]/Table15[[#This Row],[concatDoneActualCount]], "s", "ns")</f>
        <v>68.793843296416043</v>
      </c>
      <c r="AB19" s="1" t="str">
        <f>Table15[[#This Row],[corpus-meanlen]]&amp;"-"&amp;Table15[[#This Row],[heapGrowThreshold]]</f>
        <v>100-0.9</v>
      </c>
      <c r="AC19" s="1">
        <f>INDEX(importmem[seclast_req_mem], MATCH(Table15[[#This Row],[memrowid]], importmem[rowid], 0))</f>
        <v>139966</v>
      </c>
      <c r="AD19" s="1" t="str">
        <f>IF(Table15[[#This Row],[corpusMeanLenChars]]=20, Table15[[#This Row],[mem-amt]], "")</f>
        <v/>
      </c>
      <c r="AE19" s="1" t="str">
        <f>IF(Table15[[#This Row],[corpusMeanLenChars]]=50, Table15[[#This Row],[mem-amt]], "")</f>
        <v/>
      </c>
      <c r="AF19" s="1">
        <f>IF(Table15[[#This Row],[corpusMeanLenChars]]=100, Table15[[#This Row],[mem-amt]], "")</f>
        <v>139966</v>
      </c>
      <c r="AG19" s="1" t="str">
        <f>IF(Table15[[#This Row],[corpusMeanLenChars]]=200, Table15[[#This Row],[mem-amt]], "")</f>
        <v/>
      </c>
      <c r="AH19" s="1" t="str">
        <f>IF(Table15[[#This Row],[corpusMeanLenChars]]=500, Table15[[#This Row],[mem-amt]], "")</f>
        <v/>
      </c>
    </row>
    <row r="20" spans="1:34" x14ac:dyDescent="0.25">
      <c r="A20" s="1" t="s">
        <v>71</v>
      </c>
      <c r="B20" s="1" t="str">
        <f>Table15[[#This Row],[test]]&amp;"@"&amp;Table15[[#This Row],[corpus]]</f>
        <v>perfexp-cfa-pal-ll-share-na@corpus-1-200-1.txt</v>
      </c>
      <c r="C20" s="5" t="s">
        <v>66</v>
      </c>
      <c r="D20" s="5" t="s">
        <v>59</v>
      </c>
      <c r="E20" s="5">
        <v>0.02</v>
      </c>
      <c r="F20" s="5" t="s">
        <v>45</v>
      </c>
      <c r="G20" s="5">
        <v>1</v>
      </c>
      <c r="H20" s="5">
        <v>200</v>
      </c>
      <c r="I20" s="28"/>
      <c r="J20" s="33">
        <v>10.000534999999999</v>
      </c>
      <c r="K20" s="35" t="str">
        <f>MID(Table15[[#This Row],[test]], LEN("perfexp-")+1, 9999)</f>
        <v>cfa-pal-ll-share-na</v>
      </c>
      <c r="L20" s="1">
        <f>FIND("-p", Table15[[#This Row],[test-allvar]])+LEN("-")</f>
        <v>5</v>
      </c>
      <c r="M20" s="1" t="str">
        <f>MID(Table15[[#This Row],[test-allvar]], Table15[[#This Row],[operation-idx]], LEN("pta"))</f>
        <v>pal</v>
      </c>
      <c r="N20" s="1" t="str">
        <f>LEFT(Table15[[#This Row],[test-allvar]], Table15[[#This Row],[operation-idx]]-LEN("-")-1) &amp; MID(Table15[[#This Row],[test-allvar]], Table15[[#This Row],[operation-idx]]+LEN(Table15[[#This Row],[operation]]), 9999)</f>
        <v>cfa-ll-share-na</v>
      </c>
      <c r="O20" s="1" t="str">
        <f>IFERROR( LEFT(Table15[[#This Row],[sut]], FIND("-", Table15[[#This Row],[sut]])-1), Table15[[#This Row],[sut]])</f>
        <v>cfa</v>
      </c>
      <c r="P20" s="1" t="str">
        <f>IF(Table15[[#This Row],[sut-platform]]="cfa", MID(Table15[[#This Row],[sut]], 5, 2), "~na~")</f>
        <v>ll</v>
      </c>
      <c r="Q20" s="1" t="str">
        <f>IF(Table15[[#This Row],[sut-platform]]="cfa", MID(Table15[[#This Row],[sut]], 8, 999), Table15[[#This Row],[sut-cfa-level]])</f>
        <v>share-na</v>
      </c>
      <c r="R20" s="1" t="str">
        <f>IF(Table15[[#This Row],[sut-platform]]="cfa", LEFT(Table15[[#This Row],[suffix-cfa-sharing-alloc]], FIND("-",Table15[[#This Row],[suffix-cfa-sharing-alloc]])-1), "~na~")</f>
        <v>share</v>
      </c>
      <c r="S20" s="1" t="str">
        <f>RIGHT(Table15[[#This Row],[test-allvar]],LEN(Table15[[#This Row],[test-allvar]])-FIND("@",SUBSTITUTE(Table15[[#This Row],[test-allvar]],"-","@",LEN(Table15[[#This Row],[test-allvar]])-LEN(SUBSTITUTE(Table15[[#This Row],[test-allvar]],"-",""))),1))</f>
        <v>na</v>
      </c>
      <c r="T20" s="1" t="str">
        <f>MID(Table15[[#This Row],[corpus]], LEN("corpus-")+1, 999)</f>
        <v>1-200-1.txt</v>
      </c>
      <c r="U20" s="1" t="str">
        <f>LEFT(Table15[[#This Row],[corpus-varsuffix]], FIND(".txt", Table15[[#This Row],[corpus-varsuffix]])-1)</f>
        <v>1-200-1</v>
      </c>
      <c r="V20" s="1">
        <f>INT(LEFT(Table15[[#This Row],[corpus-allvar]], FIND("-", Table15[[#This Row],[corpus-varsuffix]])-1))</f>
        <v>1</v>
      </c>
      <c r="W20" s="1" t="str">
        <f>MID(Table15[[#This Row],[corpus-allvar]], LEN(Table15[[#This Row],[corpus-nstrs]])+2, 999)</f>
        <v>200-1</v>
      </c>
      <c r="X20" s="1">
        <f>INT(LEFT(Table15[[#This Row],[corpus-varsuffix2]], FIND("-", Table15[[#This Row],[corpus-varsuffix2]])-1))</f>
        <v>200</v>
      </c>
      <c r="Y20" s="1">
        <f>INT(MID(Table15[[#This Row],[corpus-varsuffix2]], LEN(Table15[[#This Row],[corpus-meanlen]])+2, 999))</f>
        <v>1</v>
      </c>
      <c r="Z20" s="4">
        <f>Table15[[#This Row],[concatDoneActualCount]]/Table15[[#This Row],[execTimeActualSec]]</f>
        <v>0</v>
      </c>
      <c r="AA20" s="4" t="e">
        <f>CONVERT(Table15[[#This Row],[execTimeActualSec]]/Table15[[#This Row],[concatDoneActualCount]], "s", "ns")</f>
        <v>#DIV/0!</v>
      </c>
      <c r="AB20" s="1" t="str">
        <f>Table15[[#This Row],[corpus-meanlen]]&amp;"-"&amp;Table15[[#This Row],[heapGrowThreshold]]</f>
        <v>200-0.02</v>
      </c>
      <c r="AC20" s="1">
        <f>INDEX(importmem[seclast_req_mem], MATCH(Table15[[#This Row],[memrowid]], importmem[rowid], 0))</f>
        <v>16395966</v>
      </c>
      <c r="AD20" s="1" t="str">
        <f>IF(Table15[[#This Row],[corpusMeanLenChars]]=20, Table15[[#This Row],[mem-amt]], "")</f>
        <v/>
      </c>
      <c r="AE20" s="1" t="str">
        <f>IF(Table15[[#This Row],[corpusMeanLenChars]]=50, Table15[[#This Row],[mem-amt]], "")</f>
        <v/>
      </c>
      <c r="AF20" s="1" t="str">
        <f>IF(Table15[[#This Row],[corpusMeanLenChars]]=100, Table15[[#This Row],[mem-amt]], "")</f>
        <v/>
      </c>
      <c r="AG20" s="1">
        <f>IF(Table15[[#This Row],[corpusMeanLenChars]]=200, Table15[[#This Row],[mem-amt]], "")</f>
        <v>16395966</v>
      </c>
      <c r="AH20" s="1" t="str">
        <f>IF(Table15[[#This Row],[corpusMeanLenChars]]=500, Table15[[#This Row],[mem-amt]], "")</f>
        <v/>
      </c>
    </row>
    <row r="21" spans="1:34" x14ac:dyDescent="0.25">
      <c r="A21" s="1" t="s">
        <v>71</v>
      </c>
      <c r="B21" s="1" t="str">
        <f>Table15[[#This Row],[test]]&amp;"@"&amp;Table15[[#This Row],[corpus]]</f>
        <v>perfexp-cfa-pal-ll-share-na@corpus-1-200-1.txt</v>
      </c>
      <c r="C21" s="5" t="s">
        <v>66</v>
      </c>
      <c r="D21" s="5" t="s">
        <v>59</v>
      </c>
      <c r="E21" s="5">
        <v>0.05</v>
      </c>
      <c r="F21" s="5" t="s">
        <v>45</v>
      </c>
      <c r="G21" s="5">
        <v>1</v>
      </c>
      <c r="H21" s="5">
        <v>200</v>
      </c>
      <c r="I21" s="41">
        <v>165360000</v>
      </c>
      <c r="J21" s="33">
        <v>10.000517</v>
      </c>
      <c r="K21" s="35" t="str">
        <f>MID(Table15[[#This Row],[test]], LEN("perfexp-")+1, 9999)</f>
        <v>cfa-pal-ll-share-na</v>
      </c>
      <c r="L21" s="1">
        <f>FIND("-p", Table15[[#This Row],[test-allvar]])+LEN("-")</f>
        <v>5</v>
      </c>
      <c r="M21" s="1" t="str">
        <f>MID(Table15[[#This Row],[test-allvar]], Table15[[#This Row],[operation-idx]], LEN("pta"))</f>
        <v>pal</v>
      </c>
      <c r="N21" s="1" t="str">
        <f>LEFT(Table15[[#This Row],[test-allvar]], Table15[[#This Row],[operation-idx]]-LEN("-")-1) &amp; MID(Table15[[#This Row],[test-allvar]], Table15[[#This Row],[operation-idx]]+LEN(Table15[[#This Row],[operation]]), 9999)</f>
        <v>cfa-ll-share-na</v>
      </c>
      <c r="O21" s="1" t="str">
        <f>IFERROR( LEFT(Table15[[#This Row],[sut]], FIND("-", Table15[[#This Row],[sut]])-1), Table15[[#This Row],[sut]])</f>
        <v>cfa</v>
      </c>
      <c r="P21" s="1" t="str">
        <f>IF(Table15[[#This Row],[sut-platform]]="cfa", MID(Table15[[#This Row],[sut]], 5, 2), "~na~")</f>
        <v>ll</v>
      </c>
      <c r="Q21" s="1" t="str">
        <f>IF(Table15[[#This Row],[sut-platform]]="cfa", MID(Table15[[#This Row],[sut]], 8, 999), Table15[[#This Row],[sut-cfa-level]])</f>
        <v>share-na</v>
      </c>
      <c r="R21" s="1" t="str">
        <f>IF(Table15[[#This Row],[sut-platform]]="cfa", LEFT(Table15[[#This Row],[suffix-cfa-sharing-alloc]], FIND("-",Table15[[#This Row],[suffix-cfa-sharing-alloc]])-1), "~na~")</f>
        <v>share</v>
      </c>
      <c r="S21" s="1" t="str">
        <f>RIGHT(Table15[[#This Row],[test-allvar]],LEN(Table15[[#This Row],[test-allvar]])-FIND("@",SUBSTITUTE(Table15[[#This Row],[test-allvar]],"-","@",LEN(Table15[[#This Row],[test-allvar]])-LEN(SUBSTITUTE(Table15[[#This Row],[test-allvar]],"-",""))),1))</f>
        <v>na</v>
      </c>
      <c r="T21" s="1" t="str">
        <f>MID(Table15[[#This Row],[corpus]], LEN("corpus-")+1, 999)</f>
        <v>1-200-1.txt</v>
      </c>
      <c r="U21" s="1" t="str">
        <f>LEFT(Table15[[#This Row],[corpus-varsuffix]], FIND(".txt", Table15[[#This Row],[corpus-varsuffix]])-1)</f>
        <v>1-200-1</v>
      </c>
      <c r="V21" s="1">
        <f>INT(LEFT(Table15[[#This Row],[corpus-allvar]], FIND("-", Table15[[#This Row],[corpus-varsuffix]])-1))</f>
        <v>1</v>
      </c>
      <c r="W21" s="1" t="str">
        <f>MID(Table15[[#This Row],[corpus-allvar]], LEN(Table15[[#This Row],[corpus-nstrs]])+2, 999)</f>
        <v>200-1</v>
      </c>
      <c r="X21" s="1">
        <f>INT(LEFT(Table15[[#This Row],[corpus-varsuffix2]], FIND("-", Table15[[#This Row],[corpus-varsuffix2]])-1))</f>
        <v>200</v>
      </c>
      <c r="Y21" s="1">
        <f>INT(MID(Table15[[#This Row],[corpus-varsuffix2]], LEN(Table15[[#This Row],[corpus-meanlen]])+2, 999))</f>
        <v>1</v>
      </c>
      <c r="Z21" s="4">
        <f>Table15[[#This Row],[concatDoneActualCount]]/Table15[[#This Row],[execTimeActualSec]]</f>
        <v>16535145.132996624</v>
      </c>
      <c r="AA21" s="4">
        <f>CONVERT(Table15[[#This Row],[execTimeActualSec]]/Table15[[#This Row],[concatDoneActualCount]], "s", "ns")</f>
        <v>60.477243589743594</v>
      </c>
      <c r="AB21" s="1" t="str">
        <f>Table15[[#This Row],[corpus-meanlen]]&amp;"-"&amp;Table15[[#This Row],[heapGrowThreshold]]</f>
        <v>200-0.05</v>
      </c>
      <c r="AC21" s="1">
        <f>INDEX(importmem[seclast_req_mem], MATCH(Table15[[#This Row],[memrowid]], importmem[rowid], 0))</f>
        <v>4107966</v>
      </c>
      <c r="AD21" s="1" t="str">
        <f>IF(Table15[[#This Row],[corpusMeanLenChars]]=20, Table15[[#This Row],[mem-amt]], "")</f>
        <v/>
      </c>
      <c r="AE21" s="1" t="str">
        <f>IF(Table15[[#This Row],[corpusMeanLenChars]]=50, Table15[[#This Row],[mem-amt]], "")</f>
        <v/>
      </c>
      <c r="AF21" s="1" t="str">
        <f>IF(Table15[[#This Row],[corpusMeanLenChars]]=100, Table15[[#This Row],[mem-amt]], "")</f>
        <v/>
      </c>
      <c r="AG21" s="1">
        <f>IF(Table15[[#This Row],[corpusMeanLenChars]]=200, Table15[[#This Row],[mem-amt]], "")</f>
        <v>4107966</v>
      </c>
      <c r="AH21" s="1" t="str">
        <f>IF(Table15[[#This Row],[corpusMeanLenChars]]=500, Table15[[#This Row],[mem-amt]], "")</f>
        <v/>
      </c>
    </row>
    <row r="22" spans="1:34" x14ac:dyDescent="0.25">
      <c r="A22" s="1" t="s">
        <v>71</v>
      </c>
      <c r="B22" s="1" t="str">
        <f>Table15[[#This Row],[test]]&amp;"@"&amp;Table15[[#This Row],[corpus]]</f>
        <v>perfexp-cfa-pal-ll-share-na@corpus-1-200-1.txt</v>
      </c>
      <c r="C22" s="5" t="s">
        <v>66</v>
      </c>
      <c r="D22" s="5" t="s">
        <v>59</v>
      </c>
      <c r="E22" s="5">
        <v>0.1</v>
      </c>
      <c r="F22" s="5" t="s">
        <v>45</v>
      </c>
      <c r="G22" s="5">
        <v>1</v>
      </c>
      <c r="H22" s="5">
        <v>200</v>
      </c>
      <c r="I22" s="41">
        <v>165710000</v>
      </c>
      <c r="J22" s="33">
        <v>10.000181</v>
      </c>
      <c r="K22" s="35" t="str">
        <f>MID(Table15[[#This Row],[test]], LEN("perfexp-")+1, 9999)</f>
        <v>cfa-pal-ll-share-na</v>
      </c>
      <c r="L22" s="1">
        <f>FIND("-p", Table15[[#This Row],[test-allvar]])+LEN("-")</f>
        <v>5</v>
      </c>
      <c r="M22" s="1" t="str">
        <f>MID(Table15[[#This Row],[test-allvar]], Table15[[#This Row],[operation-idx]], LEN("pta"))</f>
        <v>pal</v>
      </c>
      <c r="N22" s="1" t="str">
        <f>LEFT(Table15[[#This Row],[test-allvar]], Table15[[#This Row],[operation-idx]]-LEN("-")-1) &amp; MID(Table15[[#This Row],[test-allvar]], Table15[[#This Row],[operation-idx]]+LEN(Table15[[#This Row],[operation]]), 9999)</f>
        <v>cfa-ll-share-na</v>
      </c>
      <c r="O22" s="1" t="str">
        <f>IFERROR( LEFT(Table15[[#This Row],[sut]], FIND("-", Table15[[#This Row],[sut]])-1), Table15[[#This Row],[sut]])</f>
        <v>cfa</v>
      </c>
      <c r="P22" s="1" t="str">
        <f>IF(Table15[[#This Row],[sut-platform]]="cfa", MID(Table15[[#This Row],[sut]], 5, 2), "~na~")</f>
        <v>ll</v>
      </c>
      <c r="Q22" s="1" t="str">
        <f>IF(Table15[[#This Row],[sut-platform]]="cfa", MID(Table15[[#This Row],[sut]], 8, 999), Table15[[#This Row],[sut-cfa-level]])</f>
        <v>share-na</v>
      </c>
      <c r="R22" s="1" t="str">
        <f>IF(Table15[[#This Row],[sut-platform]]="cfa", LEFT(Table15[[#This Row],[suffix-cfa-sharing-alloc]], FIND("-",Table15[[#This Row],[suffix-cfa-sharing-alloc]])-1), "~na~")</f>
        <v>share</v>
      </c>
      <c r="S22" s="1" t="str">
        <f>RIGHT(Table15[[#This Row],[test-allvar]],LEN(Table15[[#This Row],[test-allvar]])-FIND("@",SUBSTITUTE(Table15[[#This Row],[test-allvar]],"-","@",LEN(Table15[[#This Row],[test-allvar]])-LEN(SUBSTITUTE(Table15[[#This Row],[test-allvar]],"-",""))),1))</f>
        <v>na</v>
      </c>
      <c r="T22" s="1" t="str">
        <f>MID(Table15[[#This Row],[corpus]], LEN("corpus-")+1, 999)</f>
        <v>1-200-1.txt</v>
      </c>
      <c r="U22" s="1" t="str">
        <f>LEFT(Table15[[#This Row],[corpus-varsuffix]], FIND(".txt", Table15[[#This Row],[corpus-varsuffix]])-1)</f>
        <v>1-200-1</v>
      </c>
      <c r="V22" s="1">
        <f>INT(LEFT(Table15[[#This Row],[corpus-allvar]], FIND("-", Table15[[#This Row],[corpus-varsuffix]])-1))</f>
        <v>1</v>
      </c>
      <c r="W22" s="1" t="str">
        <f>MID(Table15[[#This Row],[corpus-allvar]], LEN(Table15[[#This Row],[corpus-nstrs]])+2, 999)</f>
        <v>200-1</v>
      </c>
      <c r="X22" s="1">
        <f>INT(LEFT(Table15[[#This Row],[corpus-varsuffix2]], FIND("-", Table15[[#This Row],[corpus-varsuffix2]])-1))</f>
        <v>200</v>
      </c>
      <c r="Y22" s="1">
        <f>INT(MID(Table15[[#This Row],[corpus-varsuffix2]], LEN(Table15[[#This Row],[corpus-meanlen]])+2, 999))</f>
        <v>1</v>
      </c>
      <c r="Z22" s="4">
        <f>Table15[[#This Row],[concatDoneActualCount]]/Table15[[#This Row],[execTimeActualSec]]</f>
        <v>16570700.070328727</v>
      </c>
      <c r="AA22" s="4">
        <f>CONVERT(Table15[[#This Row],[execTimeActualSec]]/Table15[[#This Row],[concatDoneActualCount]], "s", "ns")</f>
        <v>60.34748053828978</v>
      </c>
      <c r="AB22" s="1" t="str">
        <f>Table15[[#This Row],[corpus-meanlen]]&amp;"-"&amp;Table15[[#This Row],[heapGrowThreshold]]</f>
        <v>200-0.1</v>
      </c>
      <c r="AC22" s="1">
        <f>INDEX(importmem[seclast_req_mem], MATCH(Table15[[#This Row],[memrowid]], importmem[rowid], 0))</f>
        <v>2059966</v>
      </c>
      <c r="AD22" s="1" t="str">
        <f>IF(Table15[[#This Row],[corpusMeanLenChars]]=20, Table15[[#This Row],[mem-amt]], "")</f>
        <v/>
      </c>
      <c r="AE22" s="1" t="str">
        <f>IF(Table15[[#This Row],[corpusMeanLenChars]]=50, Table15[[#This Row],[mem-amt]], "")</f>
        <v/>
      </c>
      <c r="AF22" s="1" t="str">
        <f>IF(Table15[[#This Row],[corpusMeanLenChars]]=100, Table15[[#This Row],[mem-amt]], "")</f>
        <v/>
      </c>
      <c r="AG22" s="1">
        <f>IF(Table15[[#This Row],[corpusMeanLenChars]]=200, Table15[[#This Row],[mem-amt]], "")</f>
        <v>2059966</v>
      </c>
      <c r="AH22" s="1" t="str">
        <f>IF(Table15[[#This Row],[corpusMeanLenChars]]=500, Table15[[#This Row],[mem-amt]], "")</f>
        <v/>
      </c>
    </row>
    <row r="23" spans="1:34" x14ac:dyDescent="0.25">
      <c r="A23" s="1" t="s">
        <v>71</v>
      </c>
      <c r="B23" s="1" t="str">
        <f>Table15[[#This Row],[test]]&amp;"@"&amp;Table15[[#This Row],[corpus]]</f>
        <v>perfexp-cfa-pal-ll-share-na@corpus-1-200-1.txt</v>
      </c>
      <c r="C23" s="5" t="s">
        <v>66</v>
      </c>
      <c r="D23" s="5" t="s">
        <v>59</v>
      </c>
      <c r="E23" s="5">
        <v>0.2</v>
      </c>
      <c r="F23" s="5" t="s">
        <v>45</v>
      </c>
      <c r="G23" s="5">
        <v>1</v>
      </c>
      <c r="H23" s="5">
        <v>200</v>
      </c>
      <c r="I23" s="41">
        <v>160590000</v>
      </c>
      <c r="J23" s="33">
        <v>10.000189000000001</v>
      </c>
      <c r="K23" s="35" t="str">
        <f>MID(Table15[[#This Row],[test]], LEN("perfexp-")+1, 9999)</f>
        <v>cfa-pal-ll-share-na</v>
      </c>
      <c r="L23" s="1">
        <f>FIND("-p", Table15[[#This Row],[test-allvar]])+LEN("-")</f>
        <v>5</v>
      </c>
      <c r="M23" s="1" t="str">
        <f>MID(Table15[[#This Row],[test-allvar]], Table15[[#This Row],[operation-idx]], LEN("pta"))</f>
        <v>pal</v>
      </c>
      <c r="N23" s="1" t="str">
        <f>LEFT(Table15[[#This Row],[test-allvar]], Table15[[#This Row],[operation-idx]]-LEN("-")-1) &amp; MID(Table15[[#This Row],[test-allvar]], Table15[[#This Row],[operation-idx]]+LEN(Table15[[#This Row],[operation]]), 9999)</f>
        <v>cfa-ll-share-na</v>
      </c>
      <c r="O23" s="1" t="str">
        <f>IFERROR( LEFT(Table15[[#This Row],[sut]], FIND("-", Table15[[#This Row],[sut]])-1), Table15[[#This Row],[sut]])</f>
        <v>cfa</v>
      </c>
      <c r="P23" s="1" t="str">
        <f>IF(Table15[[#This Row],[sut-platform]]="cfa", MID(Table15[[#This Row],[sut]], 5, 2), "~na~")</f>
        <v>ll</v>
      </c>
      <c r="Q23" s="1" t="str">
        <f>IF(Table15[[#This Row],[sut-platform]]="cfa", MID(Table15[[#This Row],[sut]], 8, 999), Table15[[#This Row],[sut-cfa-level]])</f>
        <v>share-na</v>
      </c>
      <c r="R23" s="1" t="str">
        <f>IF(Table15[[#This Row],[sut-platform]]="cfa", LEFT(Table15[[#This Row],[suffix-cfa-sharing-alloc]], FIND("-",Table15[[#This Row],[suffix-cfa-sharing-alloc]])-1), "~na~")</f>
        <v>share</v>
      </c>
      <c r="S23" s="1" t="str">
        <f>RIGHT(Table15[[#This Row],[test-allvar]],LEN(Table15[[#This Row],[test-allvar]])-FIND("@",SUBSTITUTE(Table15[[#This Row],[test-allvar]],"-","@",LEN(Table15[[#This Row],[test-allvar]])-LEN(SUBSTITUTE(Table15[[#This Row],[test-allvar]],"-",""))),1))</f>
        <v>na</v>
      </c>
      <c r="T23" s="1" t="str">
        <f>MID(Table15[[#This Row],[corpus]], LEN("corpus-")+1, 999)</f>
        <v>1-200-1.txt</v>
      </c>
      <c r="U23" s="1" t="str">
        <f>LEFT(Table15[[#This Row],[corpus-varsuffix]], FIND(".txt", Table15[[#This Row],[corpus-varsuffix]])-1)</f>
        <v>1-200-1</v>
      </c>
      <c r="V23" s="1">
        <f>INT(LEFT(Table15[[#This Row],[corpus-allvar]], FIND("-", Table15[[#This Row],[corpus-varsuffix]])-1))</f>
        <v>1</v>
      </c>
      <c r="W23" s="1" t="str">
        <f>MID(Table15[[#This Row],[corpus-allvar]], LEN(Table15[[#This Row],[corpus-nstrs]])+2, 999)</f>
        <v>200-1</v>
      </c>
      <c r="X23" s="1">
        <f>INT(LEFT(Table15[[#This Row],[corpus-varsuffix2]], FIND("-", Table15[[#This Row],[corpus-varsuffix2]])-1))</f>
        <v>200</v>
      </c>
      <c r="Y23" s="1">
        <f>INT(MID(Table15[[#This Row],[corpus-varsuffix2]], LEN(Table15[[#This Row],[corpus-meanlen]])+2, 999))</f>
        <v>1</v>
      </c>
      <c r="Z23" s="4">
        <f>Table15[[#This Row],[concatDoneActualCount]]/Table15[[#This Row],[execTimeActualSec]]</f>
        <v>16058696.490636326</v>
      </c>
      <c r="AA23" s="4">
        <f>CONVERT(Table15[[#This Row],[execTimeActualSec]]/Table15[[#This Row],[concatDoneActualCount]], "s", "ns")</f>
        <v>62.271554891338198</v>
      </c>
      <c r="AB23" s="1" t="str">
        <f>Table15[[#This Row],[corpus-meanlen]]&amp;"-"&amp;Table15[[#This Row],[heapGrowThreshold]]</f>
        <v>200-0.2</v>
      </c>
      <c r="AC23" s="1">
        <f>INDEX(importmem[seclast_req_mem], MATCH(Table15[[#This Row],[memrowid]], importmem[rowid], 0))</f>
        <v>1035966</v>
      </c>
      <c r="AD23" s="1" t="str">
        <f>IF(Table15[[#This Row],[corpusMeanLenChars]]=20, Table15[[#This Row],[mem-amt]], "")</f>
        <v/>
      </c>
      <c r="AE23" s="1" t="str">
        <f>IF(Table15[[#This Row],[corpusMeanLenChars]]=50, Table15[[#This Row],[mem-amt]], "")</f>
        <v/>
      </c>
      <c r="AF23" s="1" t="str">
        <f>IF(Table15[[#This Row],[corpusMeanLenChars]]=100, Table15[[#This Row],[mem-amt]], "")</f>
        <v/>
      </c>
      <c r="AG23" s="1">
        <f>IF(Table15[[#This Row],[corpusMeanLenChars]]=200, Table15[[#This Row],[mem-amt]], "")</f>
        <v>1035966</v>
      </c>
      <c r="AH23" s="1" t="str">
        <f>IF(Table15[[#This Row],[corpusMeanLenChars]]=500, Table15[[#This Row],[mem-amt]], "")</f>
        <v/>
      </c>
    </row>
    <row r="24" spans="1:34" x14ac:dyDescent="0.25">
      <c r="A24" s="1" t="s">
        <v>71</v>
      </c>
      <c r="B24" s="1" t="str">
        <f>Table15[[#This Row],[test]]&amp;"@"&amp;Table15[[#This Row],[corpus]]</f>
        <v>perfexp-cfa-pal-ll-share-na@corpus-1-200-1.txt</v>
      </c>
      <c r="C24" s="5" t="s">
        <v>66</v>
      </c>
      <c r="D24" s="5" t="s">
        <v>59</v>
      </c>
      <c r="E24" s="5">
        <v>0.5</v>
      </c>
      <c r="F24" s="5" t="s">
        <v>45</v>
      </c>
      <c r="G24" s="5">
        <v>1</v>
      </c>
      <c r="H24" s="5">
        <v>200</v>
      </c>
      <c r="I24" s="41">
        <v>150820000</v>
      </c>
      <c r="J24" s="33">
        <v>10.000651</v>
      </c>
      <c r="K24" s="35" t="str">
        <f>MID(Table15[[#This Row],[test]], LEN("perfexp-")+1, 9999)</f>
        <v>cfa-pal-ll-share-na</v>
      </c>
      <c r="L24" s="1">
        <f>FIND("-p", Table15[[#This Row],[test-allvar]])+LEN("-")</f>
        <v>5</v>
      </c>
      <c r="M24" s="1" t="str">
        <f>MID(Table15[[#This Row],[test-allvar]], Table15[[#This Row],[operation-idx]], LEN("pta"))</f>
        <v>pal</v>
      </c>
      <c r="N24" s="1" t="str">
        <f>LEFT(Table15[[#This Row],[test-allvar]], Table15[[#This Row],[operation-idx]]-LEN("-")-1) &amp; MID(Table15[[#This Row],[test-allvar]], Table15[[#This Row],[operation-idx]]+LEN(Table15[[#This Row],[operation]]), 9999)</f>
        <v>cfa-ll-share-na</v>
      </c>
      <c r="O24" s="1" t="str">
        <f>IFERROR( LEFT(Table15[[#This Row],[sut]], FIND("-", Table15[[#This Row],[sut]])-1), Table15[[#This Row],[sut]])</f>
        <v>cfa</v>
      </c>
      <c r="P24" s="1" t="str">
        <f>IF(Table15[[#This Row],[sut-platform]]="cfa", MID(Table15[[#This Row],[sut]], 5, 2), "~na~")</f>
        <v>ll</v>
      </c>
      <c r="Q24" s="1" t="str">
        <f>IF(Table15[[#This Row],[sut-platform]]="cfa", MID(Table15[[#This Row],[sut]], 8, 999), Table15[[#This Row],[sut-cfa-level]])</f>
        <v>share-na</v>
      </c>
      <c r="R24" s="1" t="str">
        <f>IF(Table15[[#This Row],[sut-platform]]="cfa", LEFT(Table15[[#This Row],[suffix-cfa-sharing-alloc]], FIND("-",Table15[[#This Row],[suffix-cfa-sharing-alloc]])-1), "~na~")</f>
        <v>share</v>
      </c>
      <c r="S24" s="1" t="str">
        <f>RIGHT(Table15[[#This Row],[test-allvar]],LEN(Table15[[#This Row],[test-allvar]])-FIND("@",SUBSTITUTE(Table15[[#This Row],[test-allvar]],"-","@",LEN(Table15[[#This Row],[test-allvar]])-LEN(SUBSTITUTE(Table15[[#This Row],[test-allvar]],"-",""))),1))</f>
        <v>na</v>
      </c>
      <c r="T24" s="1" t="str">
        <f>MID(Table15[[#This Row],[corpus]], LEN("corpus-")+1, 999)</f>
        <v>1-200-1.txt</v>
      </c>
      <c r="U24" s="1" t="str">
        <f>LEFT(Table15[[#This Row],[corpus-varsuffix]], FIND(".txt", Table15[[#This Row],[corpus-varsuffix]])-1)</f>
        <v>1-200-1</v>
      </c>
      <c r="V24" s="1">
        <f>INT(LEFT(Table15[[#This Row],[corpus-allvar]], FIND("-", Table15[[#This Row],[corpus-varsuffix]])-1))</f>
        <v>1</v>
      </c>
      <c r="W24" s="1" t="str">
        <f>MID(Table15[[#This Row],[corpus-allvar]], LEN(Table15[[#This Row],[corpus-nstrs]])+2, 999)</f>
        <v>200-1</v>
      </c>
      <c r="X24" s="1">
        <f>INT(LEFT(Table15[[#This Row],[corpus-varsuffix2]], FIND("-", Table15[[#This Row],[corpus-varsuffix2]])-1))</f>
        <v>200</v>
      </c>
      <c r="Y24" s="1">
        <f>INT(MID(Table15[[#This Row],[corpus-varsuffix2]], LEN(Table15[[#This Row],[corpus-meanlen]])+2, 999))</f>
        <v>1</v>
      </c>
      <c r="Z24" s="4">
        <f>Table15[[#This Row],[concatDoneActualCount]]/Table15[[#This Row],[execTimeActualSec]]</f>
        <v>15081018.225713506</v>
      </c>
      <c r="AA24" s="4">
        <f>CONVERT(Table15[[#This Row],[execTimeActualSec]]/Table15[[#This Row],[concatDoneActualCount]], "s", "ns")</f>
        <v>66.308520090173715</v>
      </c>
      <c r="AB24" s="1" t="str">
        <f>Table15[[#This Row],[corpus-meanlen]]&amp;"-"&amp;Table15[[#This Row],[heapGrowThreshold]]</f>
        <v>200-0.5</v>
      </c>
      <c r="AC24" s="1">
        <f>INDEX(importmem[seclast_req_mem], MATCH(Table15[[#This Row],[memrowid]], importmem[rowid], 0))</f>
        <v>523966</v>
      </c>
      <c r="AD24" s="1" t="str">
        <f>IF(Table15[[#This Row],[corpusMeanLenChars]]=20, Table15[[#This Row],[mem-amt]], "")</f>
        <v/>
      </c>
      <c r="AE24" s="1" t="str">
        <f>IF(Table15[[#This Row],[corpusMeanLenChars]]=50, Table15[[#This Row],[mem-amt]], "")</f>
        <v/>
      </c>
      <c r="AF24" s="1" t="str">
        <f>IF(Table15[[#This Row],[corpusMeanLenChars]]=100, Table15[[#This Row],[mem-amt]], "")</f>
        <v/>
      </c>
      <c r="AG24" s="1">
        <f>IF(Table15[[#This Row],[corpusMeanLenChars]]=200, Table15[[#This Row],[mem-amt]], "")</f>
        <v>523966</v>
      </c>
      <c r="AH24" s="1" t="str">
        <f>IF(Table15[[#This Row],[corpusMeanLenChars]]=500, Table15[[#This Row],[mem-amt]], "")</f>
        <v/>
      </c>
    </row>
    <row r="25" spans="1:34" x14ac:dyDescent="0.25">
      <c r="A25" s="1" t="s">
        <v>71</v>
      </c>
      <c r="B25" s="13" t="str">
        <f>Table15[[#This Row],[test]]&amp;"@"&amp;Table15[[#This Row],[corpus]]</f>
        <v>perfexp-cfa-pal-ll-share-na@corpus-1-200-1.txt</v>
      </c>
      <c r="C25" s="5" t="s">
        <v>66</v>
      </c>
      <c r="D25" s="5" t="s">
        <v>59</v>
      </c>
      <c r="E25" s="5">
        <v>0.9</v>
      </c>
      <c r="F25" s="5" t="s">
        <v>45</v>
      </c>
      <c r="G25" s="5">
        <v>1</v>
      </c>
      <c r="H25" s="5">
        <v>200</v>
      </c>
      <c r="I25" s="41">
        <v>129830000</v>
      </c>
      <c r="J25" s="33">
        <v>10.000360000000001</v>
      </c>
      <c r="K25" s="35" t="str">
        <f>MID(Table15[[#This Row],[test]], LEN("perfexp-")+1, 9999)</f>
        <v>cfa-pal-ll-share-na</v>
      </c>
      <c r="L25" s="13">
        <f>FIND("-p", Table15[[#This Row],[test-allvar]])+LEN("-")</f>
        <v>5</v>
      </c>
      <c r="M25" s="13" t="str">
        <f>MID(Table15[[#This Row],[test-allvar]], Table15[[#This Row],[operation-idx]], LEN("pta"))</f>
        <v>pal</v>
      </c>
      <c r="N25" s="13" t="str">
        <f>LEFT(Table15[[#This Row],[test-allvar]], Table15[[#This Row],[operation-idx]]-LEN("-")-1) &amp; MID(Table15[[#This Row],[test-allvar]], Table15[[#This Row],[operation-idx]]+LEN(Table15[[#This Row],[operation]]), 9999)</f>
        <v>cfa-ll-share-na</v>
      </c>
      <c r="O25" s="13" t="str">
        <f>IFERROR( LEFT(Table15[[#This Row],[sut]], FIND("-", Table15[[#This Row],[sut]])-1), Table15[[#This Row],[sut]])</f>
        <v>cfa</v>
      </c>
      <c r="P25" s="13" t="str">
        <f>IF(Table15[[#This Row],[sut-platform]]="cfa", MID(Table15[[#This Row],[sut]], 5, 2), "~na~")</f>
        <v>ll</v>
      </c>
      <c r="Q25" s="13" t="str">
        <f>IF(Table15[[#This Row],[sut-platform]]="cfa", MID(Table15[[#This Row],[sut]], 8, 999), Table15[[#This Row],[sut-cfa-level]])</f>
        <v>share-na</v>
      </c>
      <c r="R25" s="13" t="str">
        <f>IF(Table15[[#This Row],[sut-platform]]="cfa", LEFT(Table15[[#This Row],[suffix-cfa-sharing-alloc]], FIND("-",Table15[[#This Row],[suffix-cfa-sharing-alloc]])-1), "~na~")</f>
        <v>share</v>
      </c>
      <c r="S25" s="13" t="str">
        <f>RIGHT(Table15[[#This Row],[test-allvar]],LEN(Table15[[#This Row],[test-allvar]])-FIND("@",SUBSTITUTE(Table15[[#This Row],[test-allvar]],"-","@",LEN(Table15[[#This Row],[test-allvar]])-LEN(SUBSTITUTE(Table15[[#This Row],[test-allvar]],"-",""))),1))</f>
        <v>na</v>
      </c>
      <c r="T25" s="13" t="str">
        <f>MID(Table15[[#This Row],[corpus]], LEN("corpus-")+1, 999)</f>
        <v>1-200-1.txt</v>
      </c>
      <c r="U25" s="13" t="str">
        <f>LEFT(Table15[[#This Row],[corpus-varsuffix]], FIND(".txt", Table15[[#This Row],[corpus-varsuffix]])-1)</f>
        <v>1-200-1</v>
      </c>
      <c r="V25" s="13">
        <f>INT(LEFT(Table15[[#This Row],[corpus-allvar]], FIND("-", Table15[[#This Row],[corpus-varsuffix]])-1))</f>
        <v>1</v>
      </c>
      <c r="W25" s="13" t="str">
        <f>MID(Table15[[#This Row],[corpus-allvar]], LEN(Table15[[#This Row],[corpus-nstrs]])+2, 999)</f>
        <v>200-1</v>
      </c>
      <c r="X25" s="13">
        <f>INT(LEFT(Table15[[#This Row],[corpus-varsuffix2]], FIND("-", Table15[[#This Row],[corpus-varsuffix2]])-1))</f>
        <v>200</v>
      </c>
      <c r="Y25" s="13">
        <f>INT(MID(Table15[[#This Row],[corpus-varsuffix2]], LEN(Table15[[#This Row],[corpus-meanlen]])+2, 999))</f>
        <v>1</v>
      </c>
      <c r="Z25" s="25">
        <f>Table15[[#This Row],[concatDoneActualCount]]/Table15[[#This Row],[execTimeActualSec]]</f>
        <v>12982532.628825361</v>
      </c>
      <c r="AA25" s="25">
        <f>CONVERT(Table15[[#This Row],[execTimeActualSec]]/Table15[[#This Row],[concatDoneActualCount]], "s", "ns")</f>
        <v>77.026573211122241</v>
      </c>
      <c r="AB25" s="1" t="str">
        <f>Table15[[#This Row],[corpus-meanlen]]&amp;"-"&amp;Table15[[#This Row],[heapGrowThreshold]]</f>
        <v>200-0.9</v>
      </c>
      <c r="AC25" s="1">
        <f>INDEX(importmem[seclast_req_mem], MATCH(Table15[[#This Row],[memrowid]], importmem[rowid], 0))</f>
        <v>267966</v>
      </c>
      <c r="AD25" s="1" t="str">
        <f>IF(Table15[[#This Row],[corpusMeanLenChars]]=20, Table15[[#This Row],[mem-amt]], "")</f>
        <v/>
      </c>
      <c r="AE25" s="1" t="str">
        <f>IF(Table15[[#This Row],[corpusMeanLenChars]]=50, Table15[[#This Row],[mem-amt]], "")</f>
        <v/>
      </c>
      <c r="AF25" s="1" t="str">
        <f>IF(Table15[[#This Row],[corpusMeanLenChars]]=100, Table15[[#This Row],[mem-amt]], "")</f>
        <v/>
      </c>
      <c r="AG25" s="1">
        <f>IF(Table15[[#This Row],[corpusMeanLenChars]]=200, Table15[[#This Row],[mem-amt]], "")</f>
        <v>267966</v>
      </c>
      <c r="AH25" s="1" t="str">
        <f>IF(Table15[[#This Row],[corpusMeanLenChars]]=500, Table15[[#This Row],[mem-amt]], "")</f>
        <v/>
      </c>
    </row>
    <row r="26" spans="1:34" x14ac:dyDescent="0.25">
      <c r="A26" s="1" t="s">
        <v>70</v>
      </c>
      <c r="B26" s="1" t="str">
        <f>Table15[[#This Row],[test]]&amp;"@"&amp;Table15[[#This Row],[corpus]]</f>
        <v>perfexp-cfa-pal-ll-share-na@corpus-1-500-1.txt</v>
      </c>
      <c r="C26" s="5" t="s">
        <v>66</v>
      </c>
      <c r="D26" s="5" t="s">
        <v>62</v>
      </c>
      <c r="E26" s="5">
        <v>0.02</v>
      </c>
      <c r="F26" s="5" t="s">
        <v>45</v>
      </c>
      <c r="G26" s="5">
        <v>1</v>
      </c>
      <c r="H26" s="5">
        <v>500</v>
      </c>
      <c r="I26" s="28"/>
      <c r="J26" s="33">
        <v>10.000909999999999</v>
      </c>
      <c r="K26" s="40" t="str">
        <f>MID(Table15[[#This Row],[test]], LEN("perfexp-")+1, 9999)</f>
        <v>cfa-pal-ll-share-na</v>
      </c>
      <c r="L26">
        <f>FIND("-p", Table15[[#This Row],[test-allvar]])+LEN("-")</f>
        <v>5</v>
      </c>
      <c r="M26" t="str">
        <f>MID(Table15[[#This Row],[test-allvar]], Table15[[#This Row],[operation-idx]], LEN("pta"))</f>
        <v>pal</v>
      </c>
      <c r="N26" s="1" t="str">
        <f>LEFT(Table15[[#This Row],[test-allvar]], Table15[[#This Row],[operation-idx]]-LEN("-")-1) &amp; MID(Table15[[#This Row],[test-allvar]], Table15[[#This Row],[operation-idx]]+LEN(Table15[[#This Row],[operation]]), 9999)</f>
        <v>cfa-ll-share-na</v>
      </c>
      <c r="O26" s="1" t="str">
        <f>IFERROR( LEFT(Table15[[#This Row],[sut]], FIND("-", Table15[[#This Row],[sut]])-1), Table15[[#This Row],[sut]])</f>
        <v>cfa</v>
      </c>
      <c r="P26" s="1" t="str">
        <f>IF(Table15[[#This Row],[sut-platform]]="cfa", MID(Table15[[#This Row],[sut]], 5, 2), "~na~")</f>
        <v>ll</v>
      </c>
      <c r="Q26" s="1" t="str">
        <f>IF(Table15[[#This Row],[sut-platform]]="cfa", MID(Table15[[#This Row],[sut]], 8, 999), Table15[[#This Row],[sut-cfa-level]])</f>
        <v>share-na</v>
      </c>
      <c r="R26" s="1" t="str">
        <f>IF(Table15[[#This Row],[sut-platform]]="cfa", LEFT(Table15[[#This Row],[suffix-cfa-sharing-alloc]], FIND("-",Table15[[#This Row],[suffix-cfa-sharing-alloc]])-1), "~na~")</f>
        <v>share</v>
      </c>
      <c r="S26" s="1" t="str">
        <f>RIGHT(Table15[[#This Row],[test-allvar]],LEN(Table15[[#This Row],[test-allvar]])-FIND("@",SUBSTITUTE(Table15[[#This Row],[test-allvar]],"-","@",LEN(Table15[[#This Row],[test-allvar]])-LEN(SUBSTITUTE(Table15[[#This Row],[test-allvar]],"-",""))),1))</f>
        <v>na</v>
      </c>
      <c r="T26" s="1" t="str">
        <f>MID(Table15[[#This Row],[corpus]], LEN("corpus-")+1, 999)</f>
        <v>1-500-1.txt</v>
      </c>
      <c r="U26" s="1" t="str">
        <f>LEFT(Table15[[#This Row],[corpus-varsuffix]], FIND(".txt", Table15[[#This Row],[corpus-varsuffix]])-1)</f>
        <v>1-500-1</v>
      </c>
      <c r="V26" s="1">
        <f>INT(LEFT(Table15[[#This Row],[corpus-allvar]], FIND("-", Table15[[#This Row],[corpus-varsuffix]])-1))</f>
        <v>1</v>
      </c>
      <c r="W26" s="1" t="str">
        <f>MID(Table15[[#This Row],[corpus-allvar]], LEN(Table15[[#This Row],[corpus-nstrs]])+2, 999)</f>
        <v>500-1</v>
      </c>
      <c r="X26" s="1">
        <f>INT(LEFT(Table15[[#This Row],[corpus-varsuffix2]], FIND("-", Table15[[#This Row],[corpus-varsuffix2]])-1))</f>
        <v>500</v>
      </c>
      <c r="Y26" s="1">
        <f>INT(MID(Table15[[#This Row],[corpus-varsuffix2]], LEN(Table15[[#This Row],[corpus-meanlen]])+2, 999))</f>
        <v>1</v>
      </c>
      <c r="Z26" s="4">
        <f>Table15[[#This Row],[concatDoneActualCount]]/Table15[[#This Row],[execTimeActualSec]]</f>
        <v>0</v>
      </c>
      <c r="AA26" s="4" t="e">
        <f>CONVERT(Table15[[#This Row],[execTimeActualSec]]/Table15[[#This Row],[concatDoneActualCount]], "s", "ns")</f>
        <v>#DIV/0!</v>
      </c>
      <c r="AB26" s="1" t="str">
        <f>Table15[[#This Row],[corpus-meanlen]]&amp;"-"&amp;Table15[[#This Row],[heapGrowThreshold]]</f>
        <v>500-0.02</v>
      </c>
      <c r="AC26" s="1">
        <f>INDEX(importmem[seclast_req_mem], MATCH(Table15[[#This Row],[memrowid]], importmem[rowid], 0))</f>
        <v>32779966</v>
      </c>
      <c r="AD26" s="1" t="str">
        <f>IF(Table15[[#This Row],[corpusMeanLenChars]]=20, Table15[[#This Row],[mem-amt]], "")</f>
        <v/>
      </c>
      <c r="AE26" s="1" t="str">
        <f>IF(Table15[[#This Row],[corpusMeanLenChars]]=50, Table15[[#This Row],[mem-amt]], "")</f>
        <v/>
      </c>
      <c r="AF26" s="1" t="str">
        <f>IF(Table15[[#This Row],[corpusMeanLenChars]]=100, Table15[[#This Row],[mem-amt]], "")</f>
        <v/>
      </c>
      <c r="AG26" s="1" t="str">
        <f>IF(Table15[[#This Row],[corpusMeanLenChars]]=200, Table15[[#This Row],[mem-amt]], "")</f>
        <v/>
      </c>
      <c r="AH26" s="1">
        <f>IF(Table15[[#This Row],[corpusMeanLenChars]]=500, Table15[[#This Row],[mem-amt]], "")</f>
        <v>32779966</v>
      </c>
    </row>
    <row r="27" spans="1:34" x14ac:dyDescent="0.25">
      <c r="A27" s="1" t="s">
        <v>70</v>
      </c>
      <c r="B27" s="1" t="str">
        <f>Table15[[#This Row],[test]]&amp;"@"&amp;Table15[[#This Row],[corpus]]</f>
        <v>perfexp-cfa-pal-ll-share-na@corpus-1-500-1.txt</v>
      </c>
      <c r="C27" s="5" t="s">
        <v>66</v>
      </c>
      <c r="D27" s="5" t="s">
        <v>62</v>
      </c>
      <c r="E27" s="5">
        <v>0.05</v>
      </c>
      <c r="F27" s="5" t="s">
        <v>45</v>
      </c>
      <c r="G27" s="5">
        <v>1</v>
      </c>
      <c r="H27" s="5">
        <v>500</v>
      </c>
      <c r="I27" s="28"/>
      <c r="J27" s="33">
        <v>10.001094</v>
      </c>
      <c r="K27" s="40" t="str">
        <f>MID(Table15[[#This Row],[test]], LEN("perfexp-")+1, 9999)</f>
        <v>cfa-pal-ll-share-na</v>
      </c>
      <c r="L27">
        <f>FIND("-p", Table15[[#This Row],[test-allvar]])+LEN("-")</f>
        <v>5</v>
      </c>
      <c r="M27" t="str">
        <f>MID(Table15[[#This Row],[test-allvar]], Table15[[#This Row],[operation-idx]], LEN("pta"))</f>
        <v>pal</v>
      </c>
      <c r="N27" s="1" t="str">
        <f>LEFT(Table15[[#This Row],[test-allvar]], Table15[[#This Row],[operation-idx]]-LEN("-")-1) &amp; MID(Table15[[#This Row],[test-allvar]], Table15[[#This Row],[operation-idx]]+LEN(Table15[[#This Row],[operation]]), 9999)</f>
        <v>cfa-ll-share-na</v>
      </c>
      <c r="O27" s="1" t="str">
        <f>IFERROR( LEFT(Table15[[#This Row],[sut]], FIND("-", Table15[[#This Row],[sut]])-1), Table15[[#This Row],[sut]])</f>
        <v>cfa</v>
      </c>
      <c r="P27" s="1" t="str">
        <f>IF(Table15[[#This Row],[sut-platform]]="cfa", MID(Table15[[#This Row],[sut]], 5, 2), "~na~")</f>
        <v>ll</v>
      </c>
      <c r="Q27" s="1" t="str">
        <f>IF(Table15[[#This Row],[sut-platform]]="cfa", MID(Table15[[#This Row],[sut]], 8, 999), Table15[[#This Row],[sut-cfa-level]])</f>
        <v>share-na</v>
      </c>
      <c r="R27" s="1" t="str">
        <f>IF(Table15[[#This Row],[sut-platform]]="cfa", LEFT(Table15[[#This Row],[suffix-cfa-sharing-alloc]], FIND("-",Table15[[#This Row],[suffix-cfa-sharing-alloc]])-1), "~na~")</f>
        <v>share</v>
      </c>
      <c r="S27" s="1" t="str">
        <f>RIGHT(Table15[[#This Row],[test-allvar]],LEN(Table15[[#This Row],[test-allvar]])-FIND("@",SUBSTITUTE(Table15[[#This Row],[test-allvar]],"-","@",LEN(Table15[[#This Row],[test-allvar]])-LEN(SUBSTITUTE(Table15[[#This Row],[test-allvar]],"-",""))),1))</f>
        <v>na</v>
      </c>
      <c r="T27" s="1" t="str">
        <f>MID(Table15[[#This Row],[corpus]], LEN("corpus-")+1, 999)</f>
        <v>1-500-1.txt</v>
      </c>
      <c r="U27" s="1" t="str">
        <f>LEFT(Table15[[#This Row],[corpus-varsuffix]], FIND(".txt", Table15[[#This Row],[corpus-varsuffix]])-1)</f>
        <v>1-500-1</v>
      </c>
      <c r="V27" s="1">
        <f>INT(LEFT(Table15[[#This Row],[corpus-allvar]], FIND("-", Table15[[#This Row],[corpus-varsuffix]])-1))</f>
        <v>1</v>
      </c>
      <c r="W27" s="1" t="str">
        <f>MID(Table15[[#This Row],[corpus-allvar]], LEN(Table15[[#This Row],[corpus-nstrs]])+2, 999)</f>
        <v>500-1</v>
      </c>
      <c r="X27" s="1">
        <f>INT(LEFT(Table15[[#This Row],[corpus-varsuffix2]], FIND("-", Table15[[#This Row],[corpus-varsuffix2]])-1))</f>
        <v>500</v>
      </c>
      <c r="Y27" s="1">
        <f>INT(MID(Table15[[#This Row],[corpus-varsuffix2]], LEN(Table15[[#This Row],[corpus-meanlen]])+2, 999))</f>
        <v>1</v>
      </c>
      <c r="Z27" s="4">
        <f>Table15[[#This Row],[concatDoneActualCount]]/Table15[[#This Row],[execTimeActualSec]]</f>
        <v>0</v>
      </c>
      <c r="AA27" s="4" t="e">
        <f>CONVERT(Table15[[#This Row],[execTimeActualSec]]/Table15[[#This Row],[concatDoneActualCount]], "s", "ns")</f>
        <v>#DIV/0!</v>
      </c>
      <c r="AB27" s="1" t="str">
        <f>Table15[[#This Row],[corpus-meanlen]]&amp;"-"&amp;Table15[[#This Row],[heapGrowThreshold]]</f>
        <v>500-0.05</v>
      </c>
      <c r="AC27" s="1">
        <f>INDEX(importmem[seclast_req_mem], MATCH(Table15[[#This Row],[memrowid]], importmem[rowid], 0))</f>
        <v>16395966</v>
      </c>
      <c r="AD27" s="1" t="str">
        <f>IF(Table15[[#This Row],[corpusMeanLenChars]]=20, Table15[[#This Row],[mem-amt]], "")</f>
        <v/>
      </c>
      <c r="AE27" s="1" t="str">
        <f>IF(Table15[[#This Row],[corpusMeanLenChars]]=50, Table15[[#This Row],[mem-amt]], "")</f>
        <v/>
      </c>
      <c r="AF27" s="1" t="str">
        <f>IF(Table15[[#This Row],[corpusMeanLenChars]]=100, Table15[[#This Row],[mem-amt]], "")</f>
        <v/>
      </c>
      <c r="AG27" s="1" t="str">
        <f>IF(Table15[[#This Row],[corpusMeanLenChars]]=200, Table15[[#This Row],[mem-amt]], "")</f>
        <v/>
      </c>
      <c r="AH27" s="1">
        <f>IF(Table15[[#This Row],[corpusMeanLenChars]]=500, Table15[[#This Row],[mem-amt]], "")</f>
        <v>16395966</v>
      </c>
    </row>
    <row r="28" spans="1:34" x14ac:dyDescent="0.25">
      <c r="A28" s="1" t="s">
        <v>70</v>
      </c>
      <c r="B28" s="1" t="str">
        <f>Table15[[#This Row],[test]]&amp;"@"&amp;Table15[[#This Row],[corpus]]</f>
        <v>perfexp-cfa-pal-ll-share-na@corpus-1-500-1.txt</v>
      </c>
      <c r="C28" s="5" t="s">
        <v>66</v>
      </c>
      <c r="D28" s="27" t="s">
        <v>62</v>
      </c>
      <c r="E28" s="27">
        <v>0.1</v>
      </c>
      <c r="F28" s="5" t="s">
        <v>45</v>
      </c>
      <c r="G28" s="5">
        <v>1</v>
      </c>
      <c r="H28" s="5">
        <v>500</v>
      </c>
      <c r="I28" s="42">
        <v>113130000</v>
      </c>
      <c r="J28" s="33">
        <v>10.000859</v>
      </c>
      <c r="K28" s="40" t="str">
        <f>MID(Table15[[#This Row],[test]], LEN("perfexp-")+1, 9999)</f>
        <v>cfa-pal-ll-share-na</v>
      </c>
      <c r="L28">
        <f>FIND("-p", Table15[[#This Row],[test-allvar]])+LEN("-")</f>
        <v>5</v>
      </c>
      <c r="M28" t="str">
        <f>MID(Table15[[#This Row],[test-allvar]], Table15[[#This Row],[operation-idx]], LEN("pta"))</f>
        <v>pal</v>
      </c>
      <c r="N28" s="1" t="str">
        <f>LEFT(Table15[[#This Row],[test-allvar]], Table15[[#This Row],[operation-idx]]-LEN("-")-1) &amp; MID(Table15[[#This Row],[test-allvar]], Table15[[#This Row],[operation-idx]]+LEN(Table15[[#This Row],[operation]]), 9999)</f>
        <v>cfa-ll-share-na</v>
      </c>
      <c r="O28" s="1" t="str">
        <f>IFERROR( LEFT(Table15[[#This Row],[sut]], FIND("-", Table15[[#This Row],[sut]])-1), Table15[[#This Row],[sut]])</f>
        <v>cfa</v>
      </c>
      <c r="P28" s="1" t="str">
        <f>IF(Table15[[#This Row],[sut-platform]]="cfa", MID(Table15[[#This Row],[sut]], 5, 2), "~na~")</f>
        <v>ll</v>
      </c>
      <c r="Q28" s="1" t="str">
        <f>IF(Table15[[#This Row],[sut-platform]]="cfa", MID(Table15[[#This Row],[sut]], 8, 999), Table15[[#This Row],[sut-cfa-level]])</f>
        <v>share-na</v>
      </c>
      <c r="R28" s="1" t="str">
        <f>IF(Table15[[#This Row],[sut-platform]]="cfa", LEFT(Table15[[#This Row],[suffix-cfa-sharing-alloc]], FIND("-",Table15[[#This Row],[suffix-cfa-sharing-alloc]])-1), "~na~")</f>
        <v>share</v>
      </c>
      <c r="S28" s="1" t="str">
        <f>RIGHT(Table15[[#This Row],[test-allvar]],LEN(Table15[[#This Row],[test-allvar]])-FIND("@",SUBSTITUTE(Table15[[#This Row],[test-allvar]],"-","@",LEN(Table15[[#This Row],[test-allvar]])-LEN(SUBSTITUTE(Table15[[#This Row],[test-allvar]],"-",""))),1))</f>
        <v>na</v>
      </c>
      <c r="T28" s="1" t="str">
        <f>MID(Table15[[#This Row],[corpus]], LEN("corpus-")+1, 999)</f>
        <v>1-500-1.txt</v>
      </c>
      <c r="U28" s="1" t="str">
        <f>LEFT(Table15[[#This Row],[corpus-varsuffix]], FIND(".txt", Table15[[#This Row],[corpus-varsuffix]])-1)</f>
        <v>1-500-1</v>
      </c>
      <c r="V28" s="1">
        <f>INT(LEFT(Table15[[#This Row],[corpus-allvar]], FIND("-", Table15[[#This Row],[corpus-varsuffix]])-1))</f>
        <v>1</v>
      </c>
      <c r="W28" s="1" t="str">
        <f>MID(Table15[[#This Row],[corpus-allvar]], LEN(Table15[[#This Row],[corpus-nstrs]])+2, 999)</f>
        <v>500-1</v>
      </c>
      <c r="X28" s="1">
        <f>INT(LEFT(Table15[[#This Row],[corpus-varsuffix2]], FIND("-", Table15[[#This Row],[corpus-varsuffix2]])-1))</f>
        <v>500</v>
      </c>
      <c r="Y28" s="1">
        <f>INT(MID(Table15[[#This Row],[corpus-varsuffix2]], LEN(Table15[[#This Row],[corpus-meanlen]])+2, 999))</f>
        <v>1</v>
      </c>
      <c r="Z28" s="4">
        <f>Table15[[#This Row],[concatDoneActualCount]]/Table15[[#This Row],[execTimeActualSec]]</f>
        <v>11312028.296769308</v>
      </c>
      <c r="AA28" s="4">
        <f>CONVERT(Table15[[#This Row],[execTimeActualSec]]/Table15[[#This Row],[concatDoneActualCount]], "s", "ns")</f>
        <v>88.401476177848494</v>
      </c>
      <c r="AB28" s="1" t="str">
        <f>Table15[[#This Row],[corpus-meanlen]]&amp;"-"&amp;Table15[[#This Row],[heapGrowThreshold]]</f>
        <v>500-0.1</v>
      </c>
      <c r="AC28" s="1">
        <f>INDEX(importmem[seclast_req_mem], MATCH(Table15[[#This Row],[memrowid]], importmem[rowid], 0))</f>
        <v>8203966</v>
      </c>
      <c r="AD28" s="1" t="str">
        <f>IF(Table15[[#This Row],[corpusMeanLenChars]]=20, Table15[[#This Row],[mem-amt]], "")</f>
        <v/>
      </c>
      <c r="AE28" s="1" t="str">
        <f>IF(Table15[[#This Row],[corpusMeanLenChars]]=50, Table15[[#This Row],[mem-amt]], "")</f>
        <v/>
      </c>
      <c r="AF28" s="1" t="str">
        <f>IF(Table15[[#This Row],[corpusMeanLenChars]]=100, Table15[[#This Row],[mem-amt]], "")</f>
        <v/>
      </c>
      <c r="AG28" s="1" t="str">
        <f>IF(Table15[[#This Row],[corpusMeanLenChars]]=200, Table15[[#This Row],[mem-amt]], "")</f>
        <v/>
      </c>
      <c r="AH28" s="1">
        <f>IF(Table15[[#This Row],[corpusMeanLenChars]]=500, Table15[[#This Row],[mem-amt]], "")</f>
        <v>8203966</v>
      </c>
    </row>
    <row r="29" spans="1:34" x14ac:dyDescent="0.25">
      <c r="A29" s="1" t="s">
        <v>70</v>
      </c>
      <c r="B29" s="1" t="str">
        <f>Table15[[#This Row],[test]]&amp;"@"&amp;Table15[[#This Row],[corpus]]</f>
        <v>perfexp-cfa-pal-ll-share-na@corpus-1-500-1.txt</v>
      </c>
      <c r="C29" s="5" t="s">
        <v>66</v>
      </c>
      <c r="D29" s="5" t="s">
        <v>62</v>
      </c>
      <c r="E29" s="5">
        <v>0.2</v>
      </c>
      <c r="F29" s="5" t="s">
        <v>45</v>
      </c>
      <c r="G29" s="5">
        <v>1</v>
      </c>
      <c r="H29" s="5">
        <v>500</v>
      </c>
      <c r="I29" s="42">
        <v>111380000</v>
      </c>
      <c r="J29" s="33">
        <v>10.000698999999999</v>
      </c>
      <c r="K29" s="40" t="str">
        <f>MID(Table15[[#This Row],[test]], LEN("perfexp-")+1, 9999)</f>
        <v>cfa-pal-ll-share-na</v>
      </c>
      <c r="L29">
        <f>FIND("-p", Table15[[#This Row],[test-allvar]])+LEN("-")</f>
        <v>5</v>
      </c>
      <c r="M29" t="str">
        <f>MID(Table15[[#This Row],[test-allvar]], Table15[[#This Row],[operation-idx]], LEN("pta"))</f>
        <v>pal</v>
      </c>
      <c r="N29" s="1" t="str">
        <f>LEFT(Table15[[#This Row],[test-allvar]], Table15[[#This Row],[operation-idx]]-LEN("-")-1) &amp; MID(Table15[[#This Row],[test-allvar]], Table15[[#This Row],[operation-idx]]+LEN(Table15[[#This Row],[operation]]), 9999)</f>
        <v>cfa-ll-share-na</v>
      </c>
      <c r="O29" s="1" t="str">
        <f>IFERROR( LEFT(Table15[[#This Row],[sut]], FIND("-", Table15[[#This Row],[sut]])-1), Table15[[#This Row],[sut]])</f>
        <v>cfa</v>
      </c>
      <c r="P29" s="1" t="str">
        <f>IF(Table15[[#This Row],[sut-platform]]="cfa", MID(Table15[[#This Row],[sut]], 5, 2), "~na~")</f>
        <v>ll</v>
      </c>
      <c r="Q29" s="1" t="str">
        <f>IF(Table15[[#This Row],[sut-platform]]="cfa", MID(Table15[[#This Row],[sut]], 8, 999), Table15[[#This Row],[sut-cfa-level]])</f>
        <v>share-na</v>
      </c>
      <c r="R29" s="1" t="str">
        <f>IF(Table15[[#This Row],[sut-platform]]="cfa", LEFT(Table15[[#This Row],[suffix-cfa-sharing-alloc]], FIND("-",Table15[[#This Row],[suffix-cfa-sharing-alloc]])-1), "~na~")</f>
        <v>share</v>
      </c>
      <c r="S29" s="1" t="str">
        <f>RIGHT(Table15[[#This Row],[test-allvar]],LEN(Table15[[#This Row],[test-allvar]])-FIND("@",SUBSTITUTE(Table15[[#This Row],[test-allvar]],"-","@",LEN(Table15[[#This Row],[test-allvar]])-LEN(SUBSTITUTE(Table15[[#This Row],[test-allvar]],"-",""))),1))</f>
        <v>na</v>
      </c>
      <c r="T29" s="1" t="str">
        <f>MID(Table15[[#This Row],[corpus]], LEN("corpus-")+1, 999)</f>
        <v>1-500-1.txt</v>
      </c>
      <c r="U29" s="1" t="str">
        <f>LEFT(Table15[[#This Row],[corpus-varsuffix]], FIND(".txt", Table15[[#This Row],[corpus-varsuffix]])-1)</f>
        <v>1-500-1</v>
      </c>
      <c r="V29" s="1">
        <f>INT(LEFT(Table15[[#This Row],[corpus-allvar]], FIND("-", Table15[[#This Row],[corpus-varsuffix]])-1))</f>
        <v>1</v>
      </c>
      <c r="W29" s="1" t="str">
        <f>MID(Table15[[#This Row],[corpus-allvar]], LEN(Table15[[#This Row],[corpus-nstrs]])+2, 999)</f>
        <v>500-1</v>
      </c>
      <c r="X29" s="1">
        <f>INT(LEFT(Table15[[#This Row],[corpus-varsuffix2]], FIND("-", Table15[[#This Row],[corpus-varsuffix2]])-1))</f>
        <v>500</v>
      </c>
      <c r="Y29" s="1">
        <f>INT(MID(Table15[[#This Row],[corpus-varsuffix2]], LEN(Table15[[#This Row],[corpus-meanlen]])+2, 999))</f>
        <v>1</v>
      </c>
      <c r="Z29" s="4">
        <f>Table15[[#This Row],[concatDoneActualCount]]/Table15[[#This Row],[execTimeActualSec]]</f>
        <v>11137221.508216577</v>
      </c>
      <c r="AA29" s="4">
        <f>CONVERT(Table15[[#This Row],[execTimeActualSec]]/Table15[[#This Row],[concatDoneActualCount]], "s", "ns")</f>
        <v>89.789001616089053</v>
      </c>
      <c r="AB29" s="1" t="str">
        <f>Table15[[#This Row],[corpus-meanlen]]&amp;"-"&amp;Table15[[#This Row],[heapGrowThreshold]]</f>
        <v>500-0.2</v>
      </c>
      <c r="AC29" s="1">
        <f>INDEX(importmem[seclast_req_mem], MATCH(Table15[[#This Row],[memrowid]], importmem[rowid], 0))</f>
        <v>4107966</v>
      </c>
      <c r="AD29" s="1" t="str">
        <f>IF(Table15[[#This Row],[corpusMeanLenChars]]=20, Table15[[#This Row],[mem-amt]], "")</f>
        <v/>
      </c>
      <c r="AE29" s="1" t="str">
        <f>IF(Table15[[#This Row],[corpusMeanLenChars]]=50, Table15[[#This Row],[mem-amt]], "")</f>
        <v/>
      </c>
      <c r="AF29" s="1" t="str">
        <f>IF(Table15[[#This Row],[corpusMeanLenChars]]=100, Table15[[#This Row],[mem-amt]], "")</f>
        <v/>
      </c>
      <c r="AG29" s="1" t="str">
        <f>IF(Table15[[#This Row],[corpusMeanLenChars]]=200, Table15[[#This Row],[mem-amt]], "")</f>
        <v/>
      </c>
      <c r="AH29" s="1">
        <f>IF(Table15[[#This Row],[corpusMeanLenChars]]=500, Table15[[#This Row],[mem-amt]], "")</f>
        <v>4107966</v>
      </c>
    </row>
    <row r="30" spans="1:34" x14ac:dyDescent="0.25">
      <c r="A30" s="1"/>
      <c r="B30" s="13" t="str">
        <f>Table15[[#This Row],[test]]&amp;"@"&amp;Table15[[#This Row],[corpus]]</f>
        <v>perfexp-cfa-pall-ll-share-na@corpus-1-500-1.txt</v>
      </c>
      <c r="C30" s="14" t="s">
        <v>63</v>
      </c>
      <c r="D30" s="14" t="s">
        <v>62</v>
      </c>
      <c r="E30" s="14">
        <v>0.3</v>
      </c>
      <c r="F30" s="14" t="s">
        <v>45</v>
      </c>
      <c r="G30" s="14">
        <v>1</v>
      </c>
      <c r="H30" s="14">
        <v>500</v>
      </c>
      <c r="I30" s="36">
        <v>116530000</v>
      </c>
      <c r="J30" s="37">
        <v>10.000829</v>
      </c>
      <c r="K30" s="35" t="str">
        <f>MID(Table15[[#This Row],[test]], LEN("perfexp-")+1, 9999)</f>
        <v>cfa-pall-ll-share-na</v>
      </c>
      <c r="L30" s="1">
        <f>FIND("-p", Table15[[#This Row],[test-allvar]])+LEN("-")</f>
        <v>5</v>
      </c>
      <c r="M30" s="1" t="str">
        <f>MID(Table15[[#This Row],[test-allvar]], Table15[[#This Row],[operation-idx]], LEN("pta"))</f>
        <v>pal</v>
      </c>
      <c r="N30" s="1" t="str">
        <f>LEFT(Table15[[#This Row],[test-allvar]], Table15[[#This Row],[operation-idx]]-LEN("-")-1) &amp; MID(Table15[[#This Row],[test-allvar]], Table15[[#This Row],[operation-idx]]+LEN(Table15[[#This Row],[operation]]), 9999)</f>
        <v>cfal-ll-share-na</v>
      </c>
      <c r="O30" s="1" t="str">
        <f>IFERROR( LEFT(Table15[[#This Row],[sut]], FIND("-", Table15[[#This Row],[sut]])-1), Table15[[#This Row],[sut]])</f>
        <v>cfal</v>
      </c>
      <c r="P30" s="1" t="str">
        <f>IF(Table15[[#This Row],[sut-platform]]="cfa", MID(Table15[[#This Row],[sut]], 5, 2), "~na~")</f>
        <v>~na~</v>
      </c>
      <c r="Q30" s="1" t="str">
        <f>IF(Table15[[#This Row],[sut-platform]]="cfa", MID(Table15[[#This Row],[sut]], 8, 999), Table15[[#This Row],[sut-cfa-level]])</f>
        <v>~na~</v>
      </c>
      <c r="R30" s="1" t="str">
        <f>IF(Table15[[#This Row],[sut-platform]]="cfa", LEFT(Table15[[#This Row],[suffix-cfa-sharing-alloc]], FIND("-",Table15[[#This Row],[suffix-cfa-sharing-alloc]])-1), "~na~")</f>
        <v>~na~</v>
      </c>
      <c r="S30" s="1" t="str">
        <f>RIGHT(Table15[[#This Row],[test-allvar]],LEN(Table15[[#This Row],[test-allvar]])-FIND("@",SUBSTITUTE(Table15[[#This Row],[test-allvar]],"-","@",LEN(Table15[[#This Row],[test-allvar]])-LEN(SUBSTITUTE(Table15[[#This Row],[test-allvar]],"-",""))),1))</f>
        <v>na</v>
      </c>
      <c r="T30" s="1" t="str">
        <f>MID(Table15[[#This Row],[corpus]], LEN("corpus-")+1, 999)</f>
        <v>1-500-1.txt</v>
      </c>
      <c r="U30" s="1" t="str">
        <f>LEFT(Table15[[#This Row],[corpus-varsuffix]], FIND(".txt", Table15[[#This Row],[corpus-varsuffix]])-1)</f>
        <v>1-500-1</v>
      </c>
      <c r="V30" s="1">
        <f>INT(LEFT(Table15[[#This Row],[corpus-allvar]], FIND("-", Table15[[#This Row],[corpus-varsuffix]])-1))</f>
        <v>1</v>
      </c>
      <c r="W30" s="1" t="str">
        <f>MID(Table15[[#This Row],[corpus-allvar]], LEN(Table15[[#This Row],[corpus-nstrs]])+2, 999)</f>
        <v>500-1</v>
      </c>
      <c r="X30" s="1">
        <f>INT(LEFT(Table15[[#This Row],[corpus-varsuffix2]], FIND("-", Table15[[#This Row],[corpus-varsuffix2]])-1))</f>
        <v>500</v>
      </c>
      <c r="Y30" s="1">
        <f>INT(MID(Table15[[#This Row],[corpus-varsuffix2]], LEN(Table15[[#This Row],[corpus-meanlen]])+2, 999))</f>
        <v>1</v>
      </c>
      <c r="Z30" s="4">
        <f>Table15[[#This Row],[concatDoneActualCount]]/Table15[[#This Row],[execTimeActualSec]]</f>
        <v>11652034.046377556</v>
      </c>
      <c r="AA30" s="4">
        <f>CONVERT(Table15[[#This Row],[execTimeActualSec]]/Table15[[#This Row],[concatDoneActualCount]], "s", "ns")</f>
        <v>85.821925684373113</v>
      </c>
      <c r="AB30" s="1" t="str">
        <f>Table15[[#This Row],[corpus-meanlen]]&amp;"-"&amp;Table15[[#This Row],[heapGrowThreshold]]</f>
        <v>500-0.3</v>
      </c>
      <c r="AC30" s="1">
        <f>INDEX(importmem[seclast_req_mem], MATCH(Table15[[#This Row],[memrowid]], importmem[rowid], 0))</f>
        <v>2059966</v>
      </c>
      <c r="AD30" s="1" t="str">
        <f>IF(Table15[[#This Row],[corpusMeanLenChars]]=20, Table15[[#This Row],[mem-amt]], "")</f>
        <v/>
      </c>
      <c r="AE30" s="1" t="str">
        <f>IF(Table15[[#This Row],[corpusMeanLenChars]]=50, Table15[[#This Row],[mem-amt]], "")</f>
        <v/>
      </c>
      <c r="AF30" s="1" t="str">
        <f>IF(Table15[[#This Row],[corpusMeanLenChars]]=100, Table15[[#This Row],[mem-amt]], "")</f>
        <v/>
      </c>
      <c r="AG30" s="1" t="str">
        <f>IF(Table15[[#This Row],[corpusMeanLenChars]]=200, Table15[[#This Row],[mem-amt]], "")</f>
        <v/>
      </c>
      <c r="AH30" s="1">
        <f>IF(Table15[[#This Row],[corpusMeanLenChars]]=500, Table15[[#This Row],[mem-amt]], "")</f>
        <v>2059966</v>
      </c>
    </row>
    <row r="31" spans="1:34" x14ac:dyDescent="0.25">
      <c r="A31" s="1" t="s">
        <v>70</v>
      </c>
      <c r="B31" s="1" t="str">
        <f>Table15[[#This Row],[test]]&amp;"@"&amp;Table15[[#This Row],[corpus]]</f>
        <v>perfexp-cfa-pal-ll-share-na@corpus-1-500-1.txt</v>
      </c>
      <c r="C31" s="5" t="s">
        <v>66</v>
      </c>
      <c r="D31" s="5" t="s">
        <v>62</v>
      </c>
      <c r="E31" s="5">
        <v>0.5</v>
      </c>
      <c r="F31" s="5" t="s">
        <v>45</v>
      </c>
      <c r="G31" s="5">
        <v>1</v>
      </c>
      <c r="H31" s="5">
        <v>500</v>
      </c>
      <c r="I31" s="42">
        <v>112530000</v>
      </c>
      <c r="J31" s="33">
        <v>10.0001</v>
      </c>
      <c r="K31" s="40" t="str">
        <f>MID(Table15[[#This Row],[test]], LEN("perfexp-")+1, 9999)</f>
        <v>cfa-pal-ll-share-na</v>
      </c>
      <c r="L31">
        <f>FIND("-p", Table15[[#This Row],[test-allvar]])+LEN("-")</f>
        <v>5</v>
      </c>
      <c r="M31" t="str">
        <f>MID(Table15[[#This Row],[test-allvar]], Table15[[#This Row],[operation-idx]], LEN("pta"))</f>
        <v>pal</v>
      </c>
      <c r="N31" s="1" t="str">
        <f>LEFT(Table15[[#This Row],[test-allvar]], Table15[[#This Row],[operation-idx]]-LEN("-")-1) &amp; MID(Table15[[#This Row],[test-allvar]], Table15[[#This Row],[operation-idx]]+LEN(Table15[[#This Row],[operation]]), 9999)</f>
        <v>cfa-ll-share-na</v>
      </c>
      <c r="O31" s="1" t="str">
        <f>IFERROR( LEFT(Table15[[#This Row],[sut]], FIND("-", Table15[[#This Row],[sut]])-1), Table15[[#This Row],[sut]])</f>
        <v>cfa</v>
      </c>
      <c r="P31" s="1" t="str">
        <f>IF(Table15[[#This Row],[sut-platform]]="cfa", MID(Table15[[#This Row],[sut]], 5, 2), "~na~")</f>
        <v>ll</v>
      </c>
      <c r="Q31" s="1" t="str">
        <f>IF(Table15[[#This Row],[sut-platform]]="cfa", MID(Table15[[#This Row],[sut]], 8, 999), Table15[[#This Row],[sut-cfa-level]])</f>
        <v>share-na</v>
      </c>
      <c r="R31" s="1" t="str">
        <f>IF(Table15[[#This Row],[sut-platform]]="cfa", LEFT(Table15[[#This Row],[suffix-cfa-sharing-alloc]], FIND("-",Table15[[#This Row],[suffix-cfa-sharing-alloc]])-1), "~na~")</f>
        <v>share</v>
      </c>
      <c r="S31" s="1" t="str">
        <f>RIGHT(Table15[[#This Row],[test-allvar]],LEN(Table15[[#This Row],[test-allvar]])-FIND("@",SUBSTITUTE(Table15[[#This Row],[test-allvar]],"-","@",LEN(Table15[[#This Row],[test-allvar]])-LEN(SUBSTITUTE(Table15[[#This Row],[test-allvar]],"-",""))),1))</f>
        <v>na</v>
      </c>
      <c r="T31" s="1" t="str">
        <f>MID(Table15[[#This Row],[corpus]], LEN("corpus-")+1, 999)</f>
        <v>1-500-1.txt</v>
      </c>
      <c r="U31" s="1" t="str">
        <f>LEFT(Table15[[#This Row],[corpus-varsuffix]], FIND(".txt", Table15[[#This Row],[corpus-varsuffix]])-1)</f>
        <v>1-500-1</v>
      </c>
      <c r="V31" s="1">
        <f>INT(LEFT(Table15[[#This Row],[corpus-allvar]], FIND("-", Table15[[#This Row],[corpus-varsuffix]])-1))</f>
        <v>1</v>
      </c>
      <c r="W31" s="1" t="str">
        <f>MID(Table15[[#This Row],[corpus-allvar]], LEN(Table15[[#This Row],[corpus-nstrs]])+2, 999)</f>
        <v>500-1</v>
      </c>
      <c r="X31" s="1">
        <f>INT(LEFT(Table15[[#This Row],[corpus-varsuffix2]], FIND("-", Table15[[#This Row],[corpus-varsuffix2]])-1))</f>
        <v>500</v>
      </c>
      <c r="Y31" s="1">
        <f>INT(MID(Table15[[#This Row],[corpus-varsuffix2]], LEN(Table15[[#This Row],[corpus-meanlen]])+2, 999))</f>
        <v>1</v>
      </c>
      <c r="Z31" s="4">
        <f>Table15[[#This Row],[concatDoneActualCount]]/Table15[[#This Row],[execTimeActualSec]]</f>
        <v>11252887.47112529</v>
      </c>
      <c r="AA31" s="4">
        <f>CONVERT(Table15[[#This Row],[execTimeActualSec]]/Table15[[#This Row],[concatDoneActualCount]], "s", "ns")</f>
        <v>88.866080156402731</v>
      </c>
      <c r="AB31" s="1" t="str">
        <f>Table15[[#This Row],[corpus-meanlen]]&amp;"-"&amp;Table15[[#This Row],[heapGrowThreshold]]</f>
        <v>500-0.5</v>
      </c>
      <c r="AC31" s="1">
        <f>INDEX(importmem[seclast_req_mem], MATCH(Table15[[#This Row],[memrowid]], importmem[rowid], 0))</f>
        <v>1035966</v>
      </c>
      <c r="AD31" s="1" t="str">
        <f>IF(Table15[[#This Row],[corpusMeanLenChars]]=20, Table15[[#This Row],[mem-amt]], "")</f>
        <v/>
      </c>
      <c r="AE31" s="1" t="str">
        <f>IF(Table15[[#This Row],[corpusMeanLenChars]]=50, Table15[[#This Row],[mem-amt]], "")</f>
        <v/>
      </c>
      <c r="AF31" s="1" t="str">
        <f>IF(Table15[[#This Row],[corpusMeanLenChars]]=100, Table15[[#This Row],[mem-amt]], "")</f>
        <v/>
      </c>
      <c r="AG31" s="1" t="str">
        <f>IF(Table15[[#This Row],[corpusMeanLenChars]]=200, Table15[[#This Row],[mem-amt]], "")</f>
        <v/>
      </c>
      <c r="AH31" s="1">
        <f>IF(Table15[[#This Row],[corpusMeanLenChars]]=500, Table15[[#This Row],[mem-amt]], "")</f>
        <v>1035966</v>
      </c>
    </row>
    <row r="32" spans="1:34" x14ac:dyDescent="0.25">
      <c r="A32" s="1" t="s">
        <v>70</v>
      </c>
      <c r="B32" s="1" t="str">
        <f>Table15[[#This Row],[test]]&amp;"@"&amp;Table15[[#This Row],[corpus]]</f>
        <v>perfexp-cfa-pal-ll-share-na@corpus-1-500-1.txt</v>
      </c>
      <c r="C32" s="14" t="s">
        <v>66</v>
      </c>
      <c r="D32" s="38" t="s">
        <v>62</v>
      </c>
      <c r="E32" s="38">
        <v>0.99</v>
      </c>
      <c r="F32" s="14" t="s">
        <v>45</v>
      </c>
      <c r="G32" s="14">
        <v>1</v>
      </c>
      <c r="H32" s="14">
        <v>500</v>
      </c>
      <c r="I32" s="43">
        <v>83270000</v>
      </c>
      <c r="J32" s="37">
        <v>10.000819</v>
      </c>
      <c r="K32" s="40" t="str">
        <f>MID(Table15[[#This Row],[test]], LEN("perfexp-")+1, 9999)</f>
        <v>cfa-pal-ll-share-na</v>
      </c>
      <c r="L32">
        <f>FIND("-p", Table15[[#This Row],[test-allvar]])+LEN("-")</f>
        <v>5</v>
      </c>
      <c r="M32" t="str">
        <f>MID(Table15[[#This Row],[test-allvar]], Table15[[#This Row],[operation-idx]], LEN("pta"))</f>
        <v>pal</v>
      </c>
      <c r="N32" s="1" t="str">
        <f>LEFT(Table15[[#This Row],[test-allvar]], Table15[[#This Row],[operation-idx]]-LEN("-")-1) &amp; MID(Table15[[#This Row],[test-allvar]], Table15[[#This Row],[operation-idx]]+LEN(Table15[[#This Row],[operation]]), 9999)</f>
        <v>cfa-ll-share-na</v>
      </c>
      <c r="O32" s="1" t="str">
        <f>IFERROR( LEFT(Table15[[#This Row],[sut]], FIND("-", Table15[[#This Row],[sut]])-1), Table15[[#This Row],[sut]])</f>
        <v>cfa</v>
      </c>
      <c r="P32" s="1" t="str">
        <f>IF(Table15[[#This Row],[sut-platform]]="cfa", MID(Table15[[#This Row],[sut]], 5, 2), "~na~")</f>
        <v>ll</v>
      </c>
      <c r="Q32" s="1" t="str">
        <f>IF(Table15[[#This Row],[sut-platform]]="cfa", MID(Table15[[#This Row],[sut]], 8, 999), Table15[[#This Row],[sut-cfa-level]])</f>
        <v>share-na</v>
      </c>
      <c r="R32" s="1" t="str">
        <f>IF(Table15[[#This Row],[sut-platform]]="cfa", LEFT(Table15[[#This Row],[suffix-cfa-sharing-alloc]], FIND("-",Table15[[#This Row],[suffix-cfa-sharing-alloc]])-1), "~na~")</f>
        <v>share</v>
      </c>
      <c r="S32" s="1" t="str">
        <f>RIGHT(Table15[[#This Row],[test-allvar]],LEN(Table15[[#This Row],[test-allvar]])-FIND("@",SUBSTITUTE(Table15[[#This Row],[test-allvar]],"-","@",LEN(Table15[[#This Row],[test-allvar]])-LEN(SUBSTITUTE(Table15[[#This Row],[test-allvar]],"-",""))),1))</f>
        <v>na</v>
      </c>
      <c r="T32" s="1" t="str">
        <f>MID(Table15[[#This Row],[corpus]], LEN("corpus-")+1, 999)</f>
        <v>1-500-1.txt</v>
      </c>
      <c r="U32" s="1" t="str">
        <f>LEFT(Table15[[#This Row],[corpus-varsuffix]], FIND(".txt", Table15[[#This Row],[corpus-varsuffix]])-1)</f>
        <v>1-500-1</v>
      </c>
      <c r="V32" s="1">
        <f>INT(LEFT(Table15[[#This Row],[corpus-allvar]], FIND("-", Table15[[#This Row],[corpus-varsuffix]])-1))</f>
        <v>1</v>
      </c>
      <c r="W32" s="1" t="str">
        <f>MID(Table15[[#This Row],[corpus-allvar]], LEN(Table15[[#This Row],[corpus-nstrs]])+2, 999)</f>
        <v>500-1</v>
      </c>
      <c r="X32" s="1">
        <f>INT(LEFT(Table15[[#This Row],[corpus-varsuffix2]], FIND("-", Table15[[#This Row],[corpus-varsuffix2]])-1))</f>
        <v>500</v>
      </c>
      <c r="Y32" s="1">
        <f>INT(MID(Table15[[#This Row],[corpus-varsuffix2]], LEN(Table15[[#This Row],[corpus-meanlen]])+2, 999))</f>
        <v>1</v>
      </c>
      <c r="Z32" s="4">
        <f>Table15[[#This Row],[concatDoneActualCount]]/Table15[[#This Row],[execTimeActualSec]]</f>
        <v>8326318.0745496945</v>
      </c>
      <c r="AA32" s="4">
        <f>CONVERT(Table15[[#This Row],[execTimeActualSec]]/Table15[[#This Row],[concatDoneActualCount]], "s", "ns")</f>
        <v>120.10110483967817</v>
      </c>
      <c r="AB32" s="1" t="str">
        <f>Table15[[#This Row],[corpus-meanlen]]&amp;"-"&amp;Table15[[#This Row],[heapGrowThreshold]]</f>
        <v>500-0.99</v>
      </c>
      <c r="AC32" s="1">
        <f>INDEX(importmem[seclast_req_mem], MATCH(Table15[[#This Row],[memrowid]], importmem[rowid], 0))</f>
        <v>523966</v>
      </c>
      <c r="AD32" s="1" t="str">
        <f>IF(Table15[[#This Row],[corpusMeanLenChars]]=20, Table15[[#This Row],[mem-amt]], "")</f>
        <v/>
      </c>
      <c r="AE32" s="1" t="str">
        <f>IF(Table15[[#This Row],[corpusMeanLenChars]]=50, Table15[[#This Row],[mem-amt]], "")</f>
        <v/>
      </c>
      <c r="AF32" s="1" t="str">
        <f>IF(Table15[[#This Row],[corpusMeanLenChars]]=100, Table15[[#This Row],[mem-amt]], "")</f>
        <v/>
      </c>
      <c r="AG32" s="1" t="str">
        <f>IF(Table15[[#This Row],[corpusMeanLenChars]]=200, Table15[[#This Row],[mem-amt]], "")</f>
        <v/>
      </c>
      <c r="AH32" s="1">
        <f>IF(Table15[[#This Row],[corpusMeanLenChars]]=500, Table15[[#This Row],[mem-amt]], "")</f>
        <v>523966</v>
      </c>
    </row>
    <row r="33" spans="1:34" x14ac:dyDescent="0.25">
      <c r="A33" s="13"/>
      <c r="B33" s="1"/>
      <c r="C33" s="14"/>
      <c r="D33" s="14"/>
      <c r="E33" s="14"/>
      <c r="F33" s="14"/>
      <c r="G33" s="14"/>
      <c r="H33" s="14"/>
      <c r="I33" s="36"/>
      <c r="J33" s="37"/>
      <c r="K33" s="35" t="str">
        <f>MID(Table15[[#This Row],[test]], LEN("perfexp-")+1, 9999)</f>
        <v/>
      </c>
      <c r="L33" s="13" t="e">
        <f>FIND("-p", Table15[[#This Row],[test-allvar]])+LEN("-")</f>
        <v>#VALUE!</v>
      </c>
      <c r="M33" s="13" t="e">
        <f>MID(Table15[[#This Row],[test-allvar]], Table15[[#This Row],[operation-idx]], LEN("pta"))</f>
        <v>#VALUE!</v>
      </c>
      <c r="N33" s="13" t="e">
        <f>LEFT(Table15[[#This Row],[test-allvar]], Table15[[#This Row],[operation-idx]]-LEN("-")-1) &amp; MID(Table15[[#This Row],[test-allvar]], Table15[[#This Row],[operation-idx]]+LEN(Table15[[#This Row],[operation]]), 9999)</f>
        <v>#VALUE!</v>
      </c>
      <c r="O33" s="13" t="e">
        <f>IFERROR( LEFT(Table15[[#This Row],[sut]], FIND("-", Table15[[#This Row],[sut]])-1), Table15[[#This Row],[sut]])</f>
        <v>#VALUE!</v>
      </c>
      <c r="P33" s="13" t="e">
        <f>IF(Table15[[#This Row],[sut-platform]]="cfa", MID(Table15[[#This Row],[sut]], 5, 2), "~na~")</f>
        <v>#VALUE!</v>
      </c>
      <c r="Q33" s="13" t="e">
        <f>IF(Table15[[#This Row],[sut-platform]]="cfa", MID(Table15[[#This Row],[sut]], 8, 999), Table15[[#This Row],[sut-cfa-level]])</f>
        <v>#VALUE!</v>
      </c>
      <c r="R33" s="13" t="e">
        <f>IF(Table15[[#This Row],[sut-platform]]="cfa", LEFT(Table15[[#This Row],[suffix-cfa-sharing-alloc]], FIND("-",Table15[[#This Row],[suffix-cfa-sharing-alloc]])-1), "~na~")</f>
        <v>#VALUE!</v>
      </c>
      <c r="S33" s="13" t="e">
        <f>RIGHT(Table15[[#This Row],[test-allvar]],LEN(Table15[[#This Row],[test-allvar]])-FIND("@",SUBSTITUTE(Table15[[#This Row],[test-allvar]],"-","@",LEN(Table15[[#This Row],[test-allvar]])-LEN(SUBSTITUTE(Table15[[#This Row],[test-allvar]],"-",""))),1))</f>
        <v>#VALUE!</v>
      </c>
      <c r="T33" s="13" t="str">
        <f>MID(Table15[[#This Row],[corpus]], LEN("corpus-")+1, 999)</f>
        <v/>
      </c>
      <c r="U33" s="13" t="e">
        <f>LEFT(Table15[[#This Row],[corpus-varsuffix]], FIND(".txt", Table15[[#This Row],[corpus-varsuffix]])-1)</f>
        <v>#VALUE!</v>
      </c>
      <c r="V33" s="13" t="e">
        <f>INT(LEFT(Table15[[#This Row],[corpus-allvar]], FIND("-", Table15[[#This Row],[corpus-varsuffix]])-1))</f>
        <v>#VALUE!</v>
      </c>
      <c r="W33" s="13" t="e">
        <f>MID(Table15[[#This Row],[corpus-allvar]], LEN(Table15[[#This Row],[corpus-nstrs]])+2, 999)</f>
        <v>#VALUE!</v>
      </c>
      <c r="X33" s="13" t="e">
        <f>INT(LEFT(Table15[[#This Row],[corpus-varsuffix2]], FIND("-", Table15[[#This Row],[corpus-varsuffix2]])-1))</f>
        <v>#VALUE!</v>
      </c>
      <c r="Y33" s="13" t="e">
        <f>INT(MID(Table15[[#This Row],[corpus-varsuffix2]], LEN(Table15[[#This Row],[corpus-meanlen]])+2, 999))</f>
        <v>#VALUE!</v>
      </c>
      <c r="Z33" s="25" t="e">
        <f>Table15[[#This Row],[concatDoneActualCount]]/Table15[[#This Row],[execTimeActualSec]]</f>
        <v>#DIV/0!</v>
      </c>
      <c r="AA33" s="25" t="e">
        <f>CONVERT(Table15[[#This Row],[execTimeActualSec]]/Table15[[#This Row],[concatDoneActualCount]], "s", "ns")</f>
        <v>#DIV/0!</v>
      </c>
      <c r="AB33" s="13" t="e">
        <f>Table15[[#This Row],[corpus-meanlen]]&amp;"-"&amp;Table15[[#This Row],[heapGrowThreshold]]</f>
        <v>#VALUE!</v>
      </c>
      <c r="AC33" s="13" t="e">
        <f>INDEX(importmem[seclast_req_mem], MATCH(Table15[[#This Row],[memrowid]], importmem[rowid], 0))</f>
        <v>#VALUE!</v>
      </c>
      <c r="AD33" s="13" t="str">
        <f>IF(Table15[[#This Row],[corpusMeanLenChars]]=20, Table15[[#This Row],[mem-amt]], "")</f>
        <v/>
      </c>
      <c r="AE33" s="13" t="str">
        <f>IF(Table15[[#This Row],[corpusMeanLenChars]]=50, Table15[[#This Row],[mem-amt]], "")</f>
        <v/>
      </c>
      <c r="AF33" s="13" t="str">
        <f>IF(Table15[[#This Row],[corpusMeanLenChars]]=100, Table15[[#This Row],[mem-amt]], "")</f>
        <v/>
      </c>
      <c r="AG33" s="13" t="str">
        <f>IF(Table15[[#This Row],[corpusMeanLenChars]]=200, Table15[[#This Row],[mem-amt]], "")</f>
        <v/>
      </c>
      <c r="AH33" s="13" t="str">
        <f>IF(Table15[[#This Row],[corpusMeanLenChars]]=500, Table15[[#This Row],[mem-amt]], "")</f>
        <v/>
      </c>
    </row>
    <row r="37" spans="1:34" x14ac:dyDescent="0.25">
      <c r="AA37" t="e">
        <f>Table15[op-duration],2:7</f>
        <v>#VALUE!</v>
      </c>
    </row>
  </sheetData>
  <pageMargins left="0.7" right="0.7" top="0.75" bottom="0.75" header="0.3" footer="0.3"/>
  <pageSetup paperSize="9" orientation="portrait" horizontalDpi="0" verticalDpi="0" r:id="rId1"/>
  <drawing r:id="rId2"/>
  <legacy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FFAB8-290B-4C72-B129-717043B035CF}">
  <dimension ref="A1:AH37"/>
  <sheetViews>
    <sheetView tabSelected="1" topLeftCell="I1" zoomScale="85" zoomScaleNormal="85" workbookViewId="0">
      <selection activeCell="I29" sqref="I29"/>
    </sheetView>
  </sheetViews>
  <sheetFormatPr defaultRowHeight="15" outlineLevelCol="1" x14ac:dyDescent="0.25"/>
  <cols>
    <col min="2" max="2" width="10.85546875" customWidth="1"/>
    <col min="3" max="3" width="32.140625" style="5" bestFit="1" customWidth="1"/>
    <col min="4" max="4" width="20.28515625" style="5" bestFit="1" customWidth="1"/>
    <col min="5" max="8" width="10.5703125" style="5" customWidth="1"/>
    <col min="9" max="9" width="15.140625" style="29" customWidth="1"/>
    <col min="10" max="10" width="15.140625" style="34" customWidth="1"/>
    <col min="11" max="11" width="9.140625" customWidth="1"/>
    <col min="13" max="13" width="19.85546875" bestFit="1" customWidth="1"/>
    <col min="16" max="16" width="0" hidden="1" customWidth="1" outlineLevel="1"/>
    <col min="17" max="17" width="9.140625" customWidth="1" collapsed="1"/>
    <col min="18" max="18" width="9.140625" customWidth="1"/>
    <col min="19" max="20" width="9.140625" hidden="1" customWidth="1" outlineLevel="1"/>
    <col min="21" max="21" width="9.140625" customWidth="1" collapsed="1"/>
    <col min="22" max="22" width="0" hidden="1" customWidth="1" outlineLevel="1"/>
    <col min="23" max="23" width="9.140625" collapsed="1"/>
    <col min="25" max="25" width="11.5703125" style="4" bestFit="1" customWidth="1"/>
    <col min="26" max="26" width="12" style="4" bestFit="1" customWidth="1"/>
  </cols>
  <sheetData>
    <row r="1" spans="1:34" x14ac:dyDescent="0.25">
      <c r="A1" t="s">
        <v>17</v>
      </c>
      <c r="B1" t="s">
        <v>31</v>
      </c>
      <c r="C1" s="6" t="s">
        <v>0</v>
      </c>
      <c r="D1" s="6" t="s">
        <v>1</v>
      </c>
      <c r="E1" s="6" t="s">
        <v>68</v>
      </c>
      <c r="F1" s="6" t="s">
        <v>18</v>
      </c>
      <c r="G1" s="6" t="s">
        <v>30</v>
      </c>
      <c r="H1" s="6" t="s">
        <v>20</v>
      </c>
      <c r="I1" s="28" t="s">
        <v>21</v>
      </c>
      <c r="J1" s="32" t="s">
        <v>19</v>
      </c>
      <c r="K1" t="s">
        <v>2</v>
      </c>
      <c r="L1" t="s">
        <v>3</v>
      </c>
      <c r="M1" t="s">
        <v>4</v>
      </c>
      <c r="N1" t="s">
        <v>5</v>
      </c>
      <c r="O1" t="s">
        <v>6</v>
      </c>
      <c r="P1" t="s">
        <v>7</v>
      </c>
      <c r="Q1" t="s">
        <v>38</v>
      </c>
      <c r="R1" t="s">
        <v>8</v>
      </c>
      <c r="S1" t="s">
        <v>39</v>
      </c>
      <c r="T1" t="s">
        <v>10</v>
      </c>
      <c r="U1" t="s">
        <v>9</v>
      </c>
      <c r="V1" t="s">
        <v>11</v>
      </c>
      <c r="W1" t="s">
        <v>12</v>
      </c>
      <c r="X1" t="s">
        <v>13</v>
      </c>
      <c r="Y1" t="s">
        <v>14</v>
      </c>
      <c r="Z1" s="4" t="s">
        <v>22</v>
      </c>
      <c r="AA1" s="4" t="s">
        <v>23</v>
      </c>
      <c r="AB1" t="s">
        <v>78</v>
      </c>
      <c r="AC1" t="s">
        <v>79</v>
      </c>
      <c r="AD1" t="s">
        <v>80</v>
      </c>
      <c r="AE1" t="s">
        <v>81</v>
      </c>
      <c r="AF1" t="s">
        <v>82</v>
      </c>
      <c r="AG1" t="s">
        <v>83</v>
      </c>
      <c r="AH1" t="s">
        <v>84</v>
      </c>
    </row>
    <row r="2" spans="1:34" x14ac:dyDescent="0.25">
      <c r="A2" s="1" t="s">
        <v>70</v>
      </c>
      <c r="B2" s="1" t="str">
        <f>Table156[[#This Row],[test]]&amp;"@"&amp;Table156[[#This Row],[corpus]]</f>
        <v>perfexp-cfa-pal-ll-share-na@corpus-1-20-1.txt</v>
      </c>
      <c r="C2" s="5" t="s">
        <v>66</v>
      </c>
      <c r="D2" s="5" t="s">
        <v>58</v>
      </c>
      <c r="E2" s="5">
        <v>0.02</v>
      </c>
      <c r="F2" s="5" t="s">
        <v>45</v>
      </c>
      <c r="G2" s="5">
        <v>1</v>
      </c>
      <c r="H2" s="5">
        <v>20</v>
      </c>
      <c r="I2" s="28"/>
      <c r="J2" s="33">
        <v>10.000344999999999</v>
      </c>
      <c r="K2" t="str">
        <f>MID(Table156[[#This Row],[test]], LEN("perfexp-")+1, 9999)</f>
        <v>cfa-pal-ll-share-na</v>
      </c>
      <c r="L2">
        <f>FIND("-p", Table156[[#This Row],[test-allvar]])+LEN("-")</f>
        <v>5</v>
      </c>
      <c r="M2" t="str">
        <f>MID(Table156[[#This Row],[test-allvar]], Table156[[#This Row],[operation-idx]], LEN("pta"))</f>
        <v>pal</v>
      </c>
      <c r="N2" s="1" t="str">
        <f>LEFT(Table156[[#This Row],[test-allvar]], Table156[[#This Row],[operation-idx]]-LEN("-")-1) &amp; MID(Table156[[#This Row],[test-allvar]], Table156[[#This Row],[operation-idx]]+LEN(Table156[[#This Row],[operation]]), 9999)</f>
        <v>cfa-ll-share-na</v>
      </c>
      <c r="O2" s="1" t="str">
        <f>IFERROR( LEFT(Table156[[#This Row],[sut]], FIND("-", Table156[[#This Row],[sut]])-1), Table156[[#This Row],[sut]])</f>
        <v>cfa</v>
      </c>
      <c r="P2" s="1" t="str">
        <f>IF(Table156[[#This Row],[sut-platform]]="cfa", MID(Table156[[#This Row],[sut]], 5, 2), "~na~")</f>
        <v>ll</v>
      </c>
      <c r="Q2" s="1" t="str">
        <f>IF(Table156[[#This Row],[sut-platform]]="cfa", MID(Table156[[#This Row],[sut]], 8, 999), Table156[[#This Row],[sut-cfa-level]])</f>
        <v>share-na</v>
      </c>
      <c r="R2" s="1" t="str">
        <f>IF(Table156[[#This Row],[sut-platform]]="cfa", LEFT(Table156[[#This Row],[suffix-cfa-sharing-alloc]], FIND("-",Table156[[#This Row],[suffix-cfa-sharing-alloc]])-1), "~na~")</f>
        <v>share</v>
      </c>
      <c r="S2" s="1" t="str">
        <f>RIGHT(Table156[[#This Row],[test-allvar]],LEN(Table156[[#This Row],[test-allvar]])-FIND("@",SUBSTITUTE(Table156[[#This Row],[test-allvar]],"-","@",LEN(Table156[[#This Row],[test-allvar]])-LEN(SUBSTITUTE(Table156[[#This Row],[test-allvar]],"-",""))),1))</f>
        <v>na</v>
      </c>
      <c r="T2" s="1" t="str">
        <f>MID(Table156[[#This Row],[corpus]], LEN("corpus-")+1, 999)</f>
        <v>1-20-1.txt</v>
      </c>
      <c r="U2" s="1" t="str">
        <f>LEFT(Table156[[#This Row],[corpus-varsuffix]], FIND(".txt", Table156[[#This Row],[corpus-varsuffix]])-1)</f>
        <v>1-20-1</v>
      </c>
      <c r="V2" s="1">
        <f>INT(LEFT(Table156[[#This Row],[corpus-allvar]], FIND("-", Table156[[#This Row],[corpus-varsuffix]])-1))</f>
        <v>1</v>
      </c>
      <c r="W2" s="1" t="str">
        <f>MID(Table156[[#This Row],[corpus-allvar]], LEN(Table156[[#This Row],[corpus-nstrs]])+2, 999)</f>
        <v>20-1</v>
      </c>
      <c r="X2" s="1">
        <f>INT(LEFT(Table156[[#This Row],[corpus-varsuffix2]], FIND("-", Table156[[#This Row],[corpus-varsuffix2]])-1))</f>
        <v>20</v>
      </c>
      <c r="Y2" s="1">
        <f>INT(MID(Table156[[#This Row],[corpus-varsuffix2]], LEN(Table156[[#This Row],[corpus-meanlen]])+2, 999))</f>
        <v>1</v>
      </c>
      <c r="Z2" s="4">
        <f>Table156[[#This Row],[concatDoneActualCount]]/Table156[[#This Row],[execTimeActualSec]]</f>
        <v>0</v>
      </c>
      <c r="AA2" s="4" t="e">
        <f>CONVERT(Table156[[#This Row],[execTimeActualSec]]/Table156[[#This Row],[concatDoneActualCount]], "s", "ns")</f>
        <v>#DIV/0!</v>
      </c>
      <c r="AB2" s="1" t="str">
        <f>Table156[[#This Row],[corpus-meanlen]]&amp;"-"&amp;Table156[[#This Row],[heapGrowThreshold]]</f>
        <v>20-0.02</v>
      </c>
      <c r="AC2" s="1">
        <f>INDEX(importmem[seclast_req_mem], MATCH(Table156[[#This Row],[memrowid]], importmem[rowid], 0))</f>
        <v>1035966</v>
      </c>
      <c r="AD2" s="1">
        <f>IF(Table156[[#This Row],[corpusMeanLenChars]]=20, Table156[[#This Row],[mem-amt]], "")</f>
        <v>1035966</v>
      </c>
      <c r="AE2" s="1" t="str">
        <f>IF(Table156[[#This Row],[corpusMeanLenChars]]=50, Table156[[#This Row],[mem-amt]], "")</f>
        <v/>
      </c>
      <c r="AF2" s="1" t="str">
        <f>IF(Table156[[#This Row],[corpusMeanLenChars]]=100, Table156[[#This Row],[mem-amt]], "")</f>
        <v/>
      </c>
      <c r="AG2" s="1" t="str">
        <f>IF(Table156[[#This Row],[corpusMeanLenChars]]=200, Table156[[#This Row],[mem-amt]], "")</f>
        <v/>
      </c>
      <c r="AH2" s="1" t="str">
        <f>IF(Table156[[#This Row],[corpusMeanLenChars]]=500, Table156[[#This Row],[mem-amt]], "")</f>
        <v/>
      </c>
    </row>
    <row r="3" spans="1:34" x14ac:dyDescent="0.25">
      <c r="A3" s="1" t="s">
        <v>70</v>
      </c>
      <c r="B3" s="1" t="str">
        <f>Table156[[#This Row],[test]]&amp;"@"&amp;Table156[[#This Row],[corpus]]</f>
        <v>perfexp-cfa-pal-ll-share-na@corpus-1-20-1.txt</v>
      </c>
      <c r="C3" s="5" t="s">
        <v>66</v>
      </c>
      <c r="D3" s="5" t="s">
        <v>58</v>
      </c>
      <c r="E3" s="5">
        <v>0.05</v>
      </c>
      <c r="F3" s="5" t="s">
        <v>45</v>
      </c>
      <c r="G3" s="5">
        <v>1</v>
      </c>
      <c r="H3" s="5">
        <v>20</v>
      </c>
      <c r="I3" s="29">
        <v>266150000</v>
      </c>
      <c r="J3" s="33">
        <v>10.000287999999999</v>
      </c>
      <c r="K3" t="str">
        <f>MID(Table156[[#This Row],[test]], LEN("perfexp-")+1, 9999)</f>
        <v>cfa-pal-ll-share-na</v>
      </c>
      <c r="L3">
        <f>FIND("-p", Table156[[#This Row],[test-allvar]])+LEN("-")</f>
        <v>5</v>
      </c>
      <c r="M3" t="str">
        <f>MID(Table156[[#This Row],[test-allvar]], Table156[[#This Row],[operation-idx]], LEN("pta"))</f>
        <v>pal</v>
      </c>
      <c r="N3" s="1" t="str">
        <f>LEFT(Table156[[#This Row],[test-allvar]], Table156[[#This Row],[operation-idx]]-LEN("-")-1) &amp; MID(Table156[[#This Row],[test-allvar]], Table156[[#This Row],[operation-idx]]+LEN(Table156[[#This Row],[operation]]), 9999)</f>
        <v>cfa-ll-share-na</v>
      </c>
      <c r="O3" s="1" t="str">
        <f>IFERROR( LEFT(Table156[[#This Row],[sut]], FIND("-", Table156[[#This Row],[sut]])-1), Table156[[#This Row],[sut]])</f>
        <v>cfa</v>
      </c>
      <c r="P3" s="1" t="str">
        <f>IF(Table156[[#This Row],[sut-platform]]="cfa", MID(Table156[[#This Row],[sut]], 5, 2), "~na~")</f>
        <v>ll</v>
      </c>
      <c r="Q3" s="1" t="str">
        <f>IF(Table156[[#This Row],[sut-platform]]="cfa", MID(Table156[[#This Row],[sut]], 8, 999), Table156[[#This Row],[sut-cfa-level]])</f>
        <v>share-na</v>
      </c>
      <c r="R3" s="1" t="str">
        <f>IF(Table156[[#This Row],[sut-platform]]="cfa", LEFT(Table156[[#This Row],[suffix-cfa-sharing-alloc]], FIND("-",Table156[[#This Row],[suffix-cfa-sharing-alloc]])-1), "~na~")</f>
        <v>share</v>
      </c>
      <c r="S3" s="1" t="str">
        <f>RIGHT(Table156[[#This Row],[test-allvar]],LEN(Table156[[#This Row],[test-allvar]])-FIND("@",SUBSTITUTE(Table156[[#This Row],[test-allvar]],"-","@",LEN(Table156[[#This Row],[test-allvar]])-LEN(SUBSTITUTE(Table156[[#This Row],[test-allvar]],"-",""))),1))</f>
        <v>na</v>
      </c>
      <c r="T3" s="1" t="str">
        <f>MID(Table156[[#This Row],[corpus]], LEN("corpus-")+1, 999)</f>
        <v>1-20-1.txt</v>
      </c>
      <c r="U3" s="1" t="str">
        <f>LEFT(Table156[[#This Row],[corpus-varsuffix]], FIND(".txt", Table156[[#This Row],[corpus-varsuffix]])-1)</f>
        <v>1-20-1</v>
      </c>
      <c r="V3" s="1">
        <f>INT(LEFT(Table156[[#This Row],[corpus-allvar]], FIND("-", Table156[[#This Row],[corpus-varsuffix]])-1))</f>
        <v>1</v>
      </c>
      <c r="W3" s="1" t="str">
        <f>MID(Table156[[#This Row],[corpus-allvar]], LEN(Table156[[#This Row],[corpus-nstrs]])+2, 999)</f>
        <v>20-1</v>
      </c>
      <c r="X3" s="1">
        <f>INT(LEFT(Table156[[#This Row],[corpus-varsuffix2]], FIND("-", Table156[[#This Row],[corpus-varsuffix2]])-1))</f>
        <v>20</v>
      </c>
      <c r="Y3" s="1">
        <f>INT(MID(Table156[[#This Row],[corpus-varsuffix2]], LEN(Table156[[#This Row],[corpus-meanlen]])+2, 999))</f>
        <v>1</v>
      </c>
      <c r="Z3" s="4">
        <f>Table156[[#This Row],[concatDoneActualCount]]/Table156[[#This Row],[execTimeActualSec]]</f>
        <v>26614233.51007491</v>
      </c>
      <c r="AA3" s="4">
        <f>CONVERT(Table156[[#This Row],[execTimeActualSec]]/Table156[[#This Row],[concatDoneActualCount]], "s", "ns")</f>
        <v>37.573879391320681</v>
      </c>
      <c r="AB3" s="1" t="str">
        <f>Table156[[#This Row],[corpus-meanlen]]&amp;"-"&amp;Table156[[#This Row],[heapGrowThreshold]]</f>
        <v>20-0.05</v>
      </c>
      <c r="AC3" s="1">
        <f>INDEX(importmem[seclast_req_mem], MATCH(Table156[[#This Row],[memrowid]], importmem[rowid], 0))</f>
        <v>523966</v>
      </c>
      <c r="AD3" s="1">
        <f>IF(Table156[[#This Row],[corpusMeanLenChars]]=20, Table156[[#This Row],[mem-amt]], "")</f>
        <v>523966</v>
      </c>
      <c r="AE3" s="1" t="str">
        <f>IF(Table156[[#This Row],[corpusMeanLenChars]]=50, Table156[[#This Row],[mem-amt]], "")</f>
        <v/>
      </c>
      <c r="AF3" s="1" t="str">
        <f>IF(Table156[[#This Row],[corpusMeanLenChars]]=100, Table156[[#This Row],[mem-amt]], "")</f>
        <v/>
      </c>
      <c r="AG3" s="1" t="str">
        <f>IF(Table156[[#This Row],[corpusMeanLenChars]]=200, Table156[[#This Row],[mem-amt]], "")</f>
        <v/>
      </c>
      <c r="AH3" s="1" t="str">
        <f>IF(Table156[[#This Row],[corpusMeanLenChars]]=500, Table156[[#This Row],[mem-amt]], "")</f>
        <v/>
      </c>
    </row>
    <row r="4" spans="1:34" x14ac:dyDescent="0.25">
      <c r="A4" s="1" t="s">
        <v>70</v>
      </c>
      <c r="B4" s="1" t="str">
        <f>Table156[[#This Row],[test]]&amp;"@"&amp;Table156[[#This Row],[corpus]]</f>
        <v>perfexp-cfa-pal-ll-share-na@corpus-1-20-1.txt</v>
      </c>
      <c r="C4" s="5" t="s">
        <v>66</v>
      </c>
      <c r="D4" s="27" t="s">
        <v>58</v>
      </c>
      <c r="E4" s="27">
        <v>0.1</v>
      </c>
      <c r="F4" s="5" t="s">
        <v>45</v>
      </c>
      <c r="G4" s="5">
        <v>1</v>
      </c>
      <c r="H4" s="5">
        <v>20</v>
      </c>
      <c r="I4" s="30">
        <v>261320000</v>
      </c>
      <c r="J4" s="33">
        <v>10.000342</v>
      </c>
      <c r="K4" t="str">
        <f>MID(Table156[[#This Row],[test]], LEN("perfexp-")+1, 9999)</f>
        <v>cfa-pal-ll-share-na</v>
      </c>
      <c r="L4">
        <f>FIND("-p", Table156[[#This Row],[test-allvar]])+LEN("-")</f>
        <v>5</v>
      </c>
      <c r="M4" t="str">
        <f>MID(Table156[[#This Row],[test-allvar]], Table156[[#This Row],[operation-idx]], LEN("pta"))</f>
        <v>pal</v>
      </c>
      <c r="N4" s="1" t="str">
        <f>LEFT(Table156[[#This Row],[test-allvar]], Table156[[#This Row],[operation-idx]]-LEN("-")-1) &amp; MID(Table156[[#This Row],[test-allvar]], Table156[[#This Row],[operation-idx]]+LEN(Table156[[#This Row],[operation]]), 9999)</f>
        <v>cfa-ll-share-na</v>
      </c>
      <c r="O4" s="1" t="str">
        <f>IFERROR( LEFT(Table156[[#This Row],[sut]], FIND("-", Table156[[#This Row],[sut]])-1), Table156[[#This Row],[sut]])</f>
        <v>cfa</v>
      </c>
      <c r="P4" s="1" t="str">
        <f>IF(Table156[[#This Row],[sut-platform]]="cfa", MID(Table156[[#This Row],[sut]], 5, 2), "~na~")</f>
        <v>ll</v>
      </c>
      <c r="Q4" s="1" t="str">
        <f>IF(Table156[[#This Row],[sut-platform]]="cfa", MID(Table156[[#This Row],[sut]], 8, 999), Table156[[#This Row],[sut-cfa-level]])</f>
        <v>share-na</v>
      </c>
      <c r="R4" s="1" t="str">
        <f>IF(Table156[[#This Row],[sut-platform]]="cfa", LEFT(Table156[[#This Row],[suffix-cfa-sharing-alloc]], FIND("-",Table156[[#This Row],[suffix-cfa-sharing-alloc]])-1), "~na~")</f>
        <v>share</v>
      </c>
      <c r="S4" s="1" t="str">
        <f>RIGHT(Table156[[#This Row],[test-allvar]],LEN(Table156[[#This Row],[test-allvar]])-FIND("@",SUBSTITUTE(Table156[[#This Row],[test-allvar]],"-","@",LEN(Table156[[#This Row],[test-allvar]])-LEN(SUBSTITUTE(Table156[[#This Row],[test-allvar]],"-",""))),1))</f>
        <v>na</v>
      </c>
      <c r="T4" s="1" t="str">
        <f>MID(Table156[[#This Row],[corpus]], LEN("corpus-")+1, 999)</f>
        <v>1-20-1.txt</v>
      </c>
      <c r="U4" s="1" t="str">
        <f>LEFT(Table156[[#This Row],[corpus-varsuffix]], FIND(".txt", Table156[[#This Row],[corpus-varsuffix]])-1)</f>
        <v>1-20-1</v>
      </c>
      <c r="V4" s="1">
        <f>INT(LEFT(Table156[[#This Row],[corpus-allvar]], FIND("-", Table156[[#This Row],[corpus-varsuffix]])-1))</f>
        <v>1</v>
      </c>
      <c r="W4" s="1" t="str">
        <f>MID(Table156[[#This Row],[corpus-allvar]], LEN(Table156[[#This Row],[corpus-nstrs]])+2, 999)</f>
        <v>20-1</v>
      </c>
      <c r="X4" s="1">
        <f>INT(LEFT(Table156[[#This Row],[corpus-varsuffix2]], FIND("-", Table156[[#This Row],[corpus-varsuffix2]])-1))</f>
        <v>20</v>
      </c>
      <c r="Y4" s="1">
        <f>INT(MID(Table156[[#This Row],[corpus-varsuffix2]], LEN(Table156[[#This Row],[corpus-meanlen]])+2, 999))</f>
        <v>1</v>
      </c>
      <c r="Z4" s="4">
        <f>Table156[[#This Row],[concatDoneActualCount]]/Table156[[#This Row],[execTimeActualSec]]</f>
        <v>26131106.316163987</v>
      </c>
      <c r="AA4" s="4">
        <f>CONVERT(Table156[[#This Row],[execTimeActualSec]]/Table156[[#This Row],[concatDoneActualCount]], "s", "ns")</f>
        <v>38.268567273840496</v>
      </c>
      <c r="AB4" s="1" t="str">
        <f>Table156[[#This Row],[corpus-meanlen]]&amp;"-"&amp;Table156[[#This Row],[heapGrowThreshold]]</f>
        <v>20-0.1</v>
      </c>
      <c r="AC4" s="1">
        <f>INDEX(importmem[seclast_req_mem], MATCH(Table156[[#This Row],[memrowid]], importmem[rowid], 0))</f>
        <v>267966</v>
      </c>
      <c r="AD4" s="1">
        <f>IF(Table156[[#This Row],[corpusMeanLenChars]]=20, Table156[[#This Row],[mem-amt]], "")</f>
        <v>267966</v>
      </c>
      <c r="AE4" s="1" t="str">
        <f>IF(Table156[[#This Row],[corpusMeanLenChars]]=50, Table156[[#This Row],[mem-amt]], "")</f>
        <v/>
      </c>
      <c r="AF4" s="1" t="str">
        <f>IF(Table156[[#This Row],[corpusMeanLenChars]]=100, Table156[[#This Row],[mem-amt]], "")</f>
        <v/>
      </c>
      <c r="AG4" s="1" t="str">
        <f>IF(Table156[[#This Row],[corpusMeanLenChars]]=200, Table156[[#This Row],[mem-amt]], "")</f>
        <v/>
      </c>
      <c r="AH4" s="1" t="str">
        <f>IF(Table156[[#This Row],[corpusMeanLenChars]]=500, Table156[[#This Row],[mem-amt]], "")</f>
        <v/>
      </c>
    </row>
    <row r="5" spans="1:34" x14ac:dyDescent="0.25">
      <c r="A5" s="1" t="s">
        <v>70</v>
      </c>
      <c r="B5" s="1" t="str">
        <f>Table156[[#This Row],[test]]&amp;"@"&amp;Table156[[#This Row],[corpus]]</f>
        <v>perfexp-cfa-pal-ll-share-na@corpus-1-20-1.txt</v>
      </c>
      <c r="C5" s="5" t="s">
        <v>66</v>
      </c>
      <c r="D5" s="5" t="s">
        <v>58</v>
      </c>
      <c r="E5" s="5">
        <v>0.2</v>
      </c>
      <c r="F5" s="5" t="s">
        <v>45</v>
      </c>
      <c r="G5" s="5">
        <v>1</v>
      </c>
      <c r="H5" s="5">
        <v>20</v>
      </c>
      <c r="I5" s="29">
        <v>260830000</v>
      </c>
      <c r="J5" s="33">
        <v>10.000373</v>
      </c>
      <c r="K5" t="str">
        <f>MID(Table156[[#This Row],[test]], LEN("perfexp-")+1, 9999)</f>
        <v>cfa-pal-ll-share-na</v>
      </c>
      <c r="L5">
        <f>FIND("-p", Table156[[#This Row],[test-allvar]])+LEN("-")</f>
        <v>5</v>
      </c>
      <c r="M5" t="str">
        <f>MID(Table156[[#This Row],[test-allvar]], Table156[[#This Row],[operation-idx]], LEN("pta"))</f>
        <v>pal</v>
      </c>
      <c r="N5" s="1" t="str">
        <f>LEFT(Table156[[#This Row],[test-allvar]], Table156[[#This Row],[operation-idx]]-LEN("-")-1) &amp; MID(Table156[[#This Row],[test-allvar]], Table156[[#This Row],[operation-idx]]+LEN(Table156[[#This Row],[operation]]), 9999)</f>
        <v>cfa-ll-share-na</v>
      </c>
      <c r="O5" s="1" t="str">
        <f>IFERROR( LEFT(Table156[[#This Row],[sut]], FIND("-", Table156[[#This Row],[sut]])-1), Table156[[#This Row],[sut]])</f>
        <v>cfa</v>
      </c>
      <c r="P5" s="1" t="str">
        <f>IF(Table156[[#This Row],[sut-platform]]="cfa", MID(Table156[[#This Row],[sut]], 5, 2), "~na~")</f>
        <v>ll</v>
      </c>
      <c r="Q5" s="1" t="str">
        <f>IF(Table156[[#This Row],[sut-platform]]="cfa", MID(Table156[[#This Row],[sut]], 8, 999), Table156[[#This Row],[sut-cfa-level]])</f>
        <v>share-na</v>
      </c>
      <c r="R5" s="1" t="str">
        <f>IF(Table156[[#This Row],[sut-platform]]="cfa", LEFT(Table156[[#This Row],[suffix-cfa-sharing-alloc]], FIND("-",Table156[[#This Row],[suffix-cfa-sharing-alloc]])-1), "~na~")</f>
        <v>share</v>
      </c>
      <c r="S5" s="1" t="str">
        <f>RIGHT(Table156[[#This Row],[test-allvar]],LEN(Table156[[#This Row],[test-allvar]])-FIND("@",SUBSTITUTE(Table156[[#This Row],[test-allvar]],"-","@",LEN(Table156[[#This Row],[test-allvar]])-LEN(SUBSTITUTE(Table156[[#This Row],[test-allvar]],"-",""))),1))</f>
        <v>na</v>
      </c>
      <c r="T5" s="1" t="str">
        <f>MID(Table156[[#This Row],[corpus]], LEN("corpus-")+1, 999)</f>
        <v>1-20-1.txt</v>
      </c>
      <c r="U5" s="1" t="str">
        <f>LEFT(Table156[[#This Row],[corpus-varsuffix]], FIND(".txt", Table156[[#This Row],[corpus-varsuffix]])-1)</f>
        <v>1-20-1</v>
      </c>
      <c r="V5" s="1">
        <f>INT(LEFT(Table156[[#This Row],[corpus-allvar]], FIND("-", Table156[[#This Row],[corpus-varsuffix]])-1))</f>
        <v>1</v>
      </c>
      <c r="W5" s="1" t="str">
        <f>MID(Table156[[#This Row],[corpus-allvar]], LEN(Table156[[#This Row],[corpus-nstrs]])+2, 999)</f>
        <v>20-1</v>
      </c>
      <c r="X5" s="1">
        <f>INT(LEFT(Table156[[#This Row],[corpus-varsuffix2]], FIND("-", Table156[[#This Row],[corpus-varsuffix2]])-1))</f>
        <v>20</v>
      </c>
      <c r="Y5" s="1">
        <f>INT(MID(Table156[[#This Row],[corpus-varsuffix2]], LEN(Table156[[#This Row],[corpus-meanlen]])+2, 999))</f>
        <v>1</v>
      </c>
      <c r="Z5" s="4">
        <f>Table156[[#This Row],[concatDoneActualCount]]/Table156[[#This Row],[execTimeActualSec]]</f>
        <v>26082027.140387665</v>
      </c>
      <c r="AA5" s="4">
        <f>CONVERT(Table156[[#This Row],[execTimeActualSec]]/Table156[[#This Row],[concatDoneActualCount]], "s", "ns")</f>
        <v>38.340578154353409</v>
      </c>
      <c r="AB5" s="1" t="str">
        <f>Table156[[#This Row],[corpus-meanlen]]&amp;"-"&amp;Table156[[#This Row],[heapGrowThreshold]]</f>
        <v>20-0.2</v>
      </c>
      <c r="AC5" s="1">
        <f>INDEX(importmem[seclast_req_mem], MATCH(Table156[[#This Row],[memrowid]], importmem[rowid], 0))</f>
        <v>139966</v>
      </c>
      <c r="AD5" s="1">
        <f>IF(Table156[[#This Row],[corpusMeanLenChars]]=20, Table156[[#This Row],[mem-amt]], "")</f>
        <v>139966</v>
      </c>
      <c r="AE5" s="1" t="str">
        <f>IF(Table156[[#This Row],[corpusMeanLenChars]]=50, Table156[[#This Row],[mem-amt]], "")</f>
        <v/>
      </c>
      <c r="AF5" s="1" t="str">
        <f>IF(Table156[[#This Row],[corpusMeanLenChars]]=100, Table156[[#This Row],[mem-amt]], "")</f>
        <v/>
      </c>
      <c r="AG5" s="1" t="str">
        <f>IF(Table156[[#This Row],[corpusMeanLenChars]]=200, Table156[[#This Row],[mem-amt]], "")</f>
        <v/>
      </c>
      <c r="AH5" s="1" t="str">
        <f>IF(Table156[[#This Row],[corpusMeanLenChars]]=500, Table156[[#This Row],[mem-amt]], "")</f>
        <v/>
      </c>
    </row>
    <row r="6" spans="1:34" x14ac:dyDescent="0.25">
      <c r="A6" s="1" t="s">
        <v>70</v>
      </c>
      <c r="B6" s="1" t="str">
        <f>Table156[[#This Row],[test]]&amp;"@"&amp;Table156[[#This Row],[corpus]]</f>
        <v>perfexp-cfa-pal-ll-share-na@corpus-1-20-1.txt</v>
      </c>
      <c r="C6" s="5" t="s">
        <v>66</v>
      </c>
      <c r="D6" s="5" t="s">
        <v>58</v>
      </c>
      <c r="E6" s="5">
        <v>0.5</v>
      </c>
      <c r="F6" s="5" t="s">
        <v>45</v>
      </c>
      <c r="G6" s="5">
        <v>1</v>
      </c>
      <c r="H6" s="5">
        <v>20</v>
      </c>
      <c r="I6" s="29">
        <v>244180000</v>
      </c>
      <c r="J6" s="33">
        <v>10.000201000000001</v>
      </c>
      <c r="K6" t="str">
        <f>MID(Table156[[#This Row],[test]], LEN("perfexp-")+1, 9999)</f>
        <v>cfa-pal-ll-share-na</v>
      </c>
      <c r="L6">
        <f>FIND("-p", Table156[[#This Row],[test-allvar]])+LEN("-")</f>
        <v>5</v>
      </c>
      <c r="M6" t="str">
        <f>MID(Table156[[#This Row],[test-allvar]], Table156[[#This Row],[operation-idx]], LEN("pta"))</f>
        <v>pal</v>
      </c>
      <c r="N6" s="1" t="str">
        <f>LEFT(Table156[[#This Row],[test-allvar]], Table156[[#This Row],[operation-idx]]-LEN("-")-1) &amp; MID(Table156[[#This Row],[test-allvar]], Table156[[#This Row],[operation-idx]]+LEN(Table156[[#This Row],[operation]]), 9999)</f>
        <v>cfa-ll-share-na</v>
      </c>
      <c r="O6" s="1" t="str">
        <f>IFERROR( LEFT(Table156[[#This Row],[sut]], FIND("-", Table156[[#This Row],[sut]])-1), Table156[[#This Row],[sut]])</f>
        <v>cfa</v>
      </c>
      <c r="P6" s="1" t="str">
        <f>IF(Table156[[#This Row],[sut-platform]]="cfa", MID(Table156[[#This Row],[sut]], 5, 2), "~na~")</f>
        <v>ll</v>
      </c>
      <c r="Q6" s="1" t="str">
        <f>IF(Table156[[#This Row],[sut-platform]]="cfa", MID(Table156[[#This Row],[sut]], 8, 999), Table156[[#This Row],[sut-cfa-level]])</f>
        <v>share-na</v>
      </c>
      <c r="R6" s="1" t="str">
        <f>IF(Table156[[#This Row],[sut-platform]]="cfa", LEFT(Table156[[#This Row],[suffix-cfa-sharing-alloc]], FIND("-",Table156[[#This Row],[suffix-cfa-sharing-alloc]])-1), "~na~")</f>
        <v>share</v>
      </c>
      <c r="S6" s="1" t="str">
        <f>RIGHT(Table156[[#This Row],[test-allvar]],LEN(Table156[[#This Row],[test-allvar]])-FIND("@",SUBSTITUTE(Table156[[#This Row],[test-allvar]],"-","@",LEN(Table156[[#This Row],[test-allvar]])-LEN(SUBSTITUTE(Table156[[#This Row],[test-allvar]],"-",""))),1))</f>
        <v>na</v>
      </c>
      <c r="T6" s="1" t="str">
        <f>MID(Table156[[#This Row],[corpus]], LEN("corpus-")+1, 999)</f>
        <v>1-20-1.txt</v>
      </c>
      <c r="U6" s="1" t="str">
        <f>LEFT(Table156[[#This Row],[corpus-varsuffix]], FIND(".txt", Table156[[#This Row],[corpus-varsuffix]])-1)</f>
        <v>1-20-1</v>
      </c>
      <c r="V6" s="1">
        <f>INT(LEFT(Table156[[#This Row],[corpus-allvar]], FIND("-", Table156[[#This Row],[corpus-varsuffix]])-1))</f>
        <v>1</v>
      </c>
      <c r="W6" s="1" t="str">
        <f>MID(Table156[[#This Row],[corpus-allvar]], LEN(Table156[[#This Row],[corpus-nstrs]])+2, 999)</f>
        <v>20-1</v>
      </c>
      <c r="X6" s="1">
        <f>INT(LEFT(Table156[[#This Row],[corpus-varsuffix2]], FIND("-", Table156[[#This Row],[corpus-varsuffix2]])-1))</f>
        <v>20</v>
      </c>
      <c r="Y6" s="1">
        <f>INT(MID(Table156[[#This Row],[corpus-varsuffix2]], LEN(Table156[[#This Row],[corpus-meanlen]])+2, 999))</f>
        <v>1</v>
      </c>
      <c r="Z6" s="4">
        <f>Table156[[#This Row],[concatDoneActualCount]]/Table156[[#This Row],[execTimeActualSec]]</f>
        <v>24417509.208064917</v>
      </c>
      <c r="AA6" s="4">
        <f>CONVERT(Table156[[#This Row],[execTimeActualSec]]/Table156[[#This Row],[concatDoneActualCount]], "s", "ns")</f>
        <v>40.954218199688761</v>
      </c>
      <c r="AB6" s="1" t="str">
        <f>Table156[[#This Row],[corpus-meanlen]]&amp;"-"&amp;Table156[[#This Row],[heapGrowThreshold]]</f>
        <v>20-0.5</v>
      </c>
      <c r="AC6" s="1">
        <f>INDEX(importmem[seclast_req_mem], MATCH(Table156[[#This Row],[memrowid]], importmem[rowid], 0))</f>
        <v>75966</v>
      </c>
      <c r="AD6" s="1">
        <f>IF(Table156[[#This Row],[corpusMeanLenChars]]=20, Table156[[#This Row],[mem-amt]], "")</f>
        <v>75966</v>
      </c>
      <c r="AE6" s="1" t="str">
        <f>IF(Table156[[#This Row],[corpusMeanLenChars]]=50, Table156[[#This Row],[mem-amt]], "")</f>
        <v/>
      </c>
      <c r="AF6" s="1" t="str">
        <f>IF(Table156[[#This Row],[corpusMeanLenChars]]=100, Table156[[#This Row],[mem-amt]], "")</f>
        <v/>
      </c>
      <c r="AG6" s="1" t="str">
        <f>IF(Table156[[#This Row],[corpusMeanLenChars]]=200, Table156[[#This Row],[mem-amt]], "")</f>
        <v/>
      </c>
      <c r="AH6" s="1" t="str">
        <f>IF(Table156[[#This Row],[corpusMeanLenChars]]=500, Table156[[#This Row],[mem-amt]], "")</f>
        <v/>
      </c>
    </row>
    <row r="7" spans="1:34" x14ac:dyDescent="0.25">
      <c r="A7" s="1" t="s">
        <v>70</v>
      </c>
      <c r="B7" s="1" t="str">
        <f>Table156[[#This Row],[test]]&amp;"@"&amp;Table156[[#This Row],[corpus]]</f>
        <v>perfexp-cfa-pal-ll-share-na@corpus-1-20-1.txt</v>
      </c>
      <c r="C7" s="5" t="s">
        <v>66</v>
      </c>
      <c r="D7" s="26" t="s">
        <v>58</v>
      </c>
      <c r="E7" s="26">
        <v>0.9</v>
      </c>
      <c r="F7" s="5" t="s">
        <v>45</v>
      </c>
      <c r="G7" s="5">
        <v>1</v>
      </c>
      <c r="H7" s="5">
        <v>20</v>
      </c>
      <c r="I7" s="31">
        <v>203880000</v>
      </c>
      <c r="J7" s="33">
        <v>10.000106000000001</v>
      </c>
      <c r="K7" t="str">
        <f>MID(Table156[[#This Row],[test]], LEN("perfexp-")+1, 9999)</f>
        <v>cfa-pal-ll-share-na</v>
      </c>
      <c r="L7">
        <f>FIND("-p", Table156[[#This Row],[test-allvar]])+LEN("-")</f>
        <v>5</v>
      </c>
      <c r="M7" t="str">
        <f>MID(Table156[[#This Row],[test-allvar]], Table156[[#This Row],[operation-idx]], LEN("pta"))</f>
        <v>pal</v>
      </c>
      <c r="N7" s="1" t="str">
        <f>LEFT(Table156[[#This Row],[test-allvar]], Table156[[#This Row],[operation-idx]]-LEN("-")-1) &amp; MID(Table156[[#This Row],[test-allvar]], Table156[[#This Row],[operation-idx]]+LEN(Table156[[#This Row],[operation]]), 9999)</f>
        <v>cfa-ll-share-na</v>
      </c>
      <c r="O7" s="1" t="str">
        <f>IFERROR( LEFT(Table156[[#This Row],[sut]], FIND("-", Table156[[#This Row],[sut]])-1), Table156[[#This Row],[sut]])</f>
        <v>cfa</v>
      </c>
      <c r="P7" s="1" t="str">
        <f>IF(Table156[[#This Row],[sut-platform]]="cfa", MID(Table156[[#This Row],[sut]], 5, 2), "~na~")</f>
        <v>ll</v>
      </c>
      <c r="Q7" s="1" t="str">
        <f>IF(Table156[[#This Row],[sut-platform]]="cfa", MID(Table156[[#This Row],[sut]], 8, 999), Table156[[#This Row],[sut-cfa-level]])</f>
        <v>share-na</v>
      </c>
      <c r="R7" s="1" t="str">
        <f>IF(Table156[[#This Row],[sut-platform]]="cfa", LEFT(Table156[[#This Row],[suffix-cfa-sharing-alloc]], FIND("-",Table156[[#This Row],[suffix-cfa-sharing-alloc]])-1), "~na~")</f>
        <v>share</v>
      </c>
      <c r="S7" s="1" t="str">
        <f>RIGHT(Table156[[#This Row],[test-allvar]],LEN(Table156[[#This Row],[test-allvar]])-FIND("@",SUBSTITUTE(Table156[[#This Row],[test-allvar]],"-","@",LEN(Table156[[#This Row],[test-allvar]])-LEN(SUBSTITUTE(Table156[[#This Row],[test-allvar]],"-",""))),1))</f>
        <v>na</v>
      </c>
      <c r="T7" s="1" t="str">
        <f>MID(Table156[[#This Row],[corpus]], LEN("corpus-")+1, 999)</f>
        <v>1-20-1.txt</v>
      </c>
      <c r="U7" s="1" t="str">
        <f>LEFT(Table156[[#This Row],[corpus-varsuffix]], FIND(".txt", Table156[[#This Row],[corpus-varsuffix]])-1)</f>
        <v>1-20-1</v>
      </c>
      <c r="V7" s="1">
        <f>INT(LEFT(Table156[[#This Row],[corpus-allvar]], FIND("-", Table156[[#This Row],[corpus-varsuffix]])-1))</f>
        <v>1</v>
      </c>
      <c r="W7" s="1" t="str">
        <f>MID(Table156[[#This Row],[corpus-allvar]], LEN(Table156[[#This Row],[corpus-nstrs]])+2, 999)</f>
        <v>20-1</v>
      </c>
      <c r="X7" s="1">
        <f>INT(LEFT(Table156[[#This Row],[corpus-varsuffix2]], FIND("-", Table156[[#This Row],[corpus-varsuffix2]])-1))</f>
        <v>20</v>
      </c>
      <c r="Y7" s="1">
        <f>INT(MID(Table156[[#This Row],[corpus-varsuffix2]], LEN(Table156[[#This Row],[corpus-meanlen]])+2, 999))</f>
        <v>1</v>
      </c>
      <c r="Z7" s="4">
        <f>Table156[[#This Row],[concatDoneActualCount]]/Table156[[#This Row],[execTimeActualSec]]</f>
        <v>20387783.889490768</v>
      </c>
      <c r="AA7" s="4">
        <f>CONVERT(Table156[[#This Row],[execTimeActualSec]]/Table156[[#This Row],[concatDoneActualCount]], "s", "ns")</f>
        <v>49.04897979203453</v>
      </c>
      <c r="AB7" s="1" t="str">
        <f>Table156[[#This Row],[corpus-meanlen]]&amp;"-"&amp;Table156[[#This Row],[heapGrowThreshold]]</f>
        <v>20-0.9</v>
      </c>
      <c r="AC7" s="1">
        <f>INDEX(importmem[seclast_req_mem], MATCH(Table156[[#This Row],[memrowid]], importmem[rowid], 0))</f>
        <v>43966</v>
      </c>
      <c r="AD7" s="1">
        <f>IF(Table156[[#This Row],[corpusMeanLenChars]]=20, Table156[[#This Row],[mem-amt]], "")</f>
        <v>43966</v>
      </c>
      <c r="AE7" s="1" t="str">
        <f>IF(Table156[[#This Row],[corpusMeanLenChars]]=50, Table156[[#This Row],[mem-amt]], "")</f>
        <v/>
      </c>
      <c r="AF7" s="1" t="str">
        <f>IF(Table156[[#This Row],[corpusMeanLenChars]]=100, Table156[[#This Row],[mem-amt]], "")</f>
        <v/>
      </c>
      <c r="AG7" s="1" t="str">
        <f>IF(Table156[[#This Row],[corpusMeanLenChars]]=200, Table156[[#This Row],[mem-amt]], "")</f>
        <v/>
      </c>
      <c r="AH7" s="1" t="str">
        <f>IF(Table156[[#This Row],[corpusMeanLenChars]]=500, Table156[[#This Row],[mem-amt]], "")</f>
        <v/>
      </c>
    </row>
    <row r="8" spans="1:34" x14ac:dyDescent="0.25">
      <c r="A8" s="1" t="s">
        <v>71</v>
      </c>
      <c r="B8" s="1" t="str">
        <f>Table156[[#This Row],[test]]&amp;"@"&amp;Table156[[#This Row],[corpus]]</f>
        <v>perfexp-cfa-pal-ll-share-na@corpus-1-50-1.txt</v>
      </c>
      <c r="C8" s="5" t="s">
        <v>66</v>
      </c>
      <c r="D8" s="5" t="s">
        <v>61</v>
      </c>
      <c r="E8" s="5">
        <v>0.02</v>
      </c>
      <c r="F8" s="5" t="s">
        <v>45</v>
      </c>
      <c r="G8" s="5">
        <v>1</v>
      </c>
      <c r="H8" s="5">
        <v>50</v>
      </c>
      <c r="I8" s="28"/>
      <c r="J8" s="33">
        <v>10.000083</v>
      </c>
      <c r="K8" s="13" t="str">
        <f>MID(Table156[[#This Row],[test]], LEN("perfexp-")+1, 9999)</f>
        <v>cfa-pal-ll-share-na</v>
      </c>
      <c r="L8" s="1">
        <f>FIND("-p", Table156[[#This Row],[test-allvar]])+LEN("-")</f>
        <v>5</v>
      </c>
      <c r="M8" s="1" t="str">
        <f>MID(Table156[[#This Row],[test-allvar]], Table156[[#This Row],[operation-idx]], LEN("pta"))</f>
        <v>pal</v>
      </c>
      <c r="N8" s="1" t="str">
        <f>LEFT(Table156[[#This Row],[test-allvar]], Table156[[#This Row],[operation-idx]]-LEN("-")-1) &amp; MID(Table156[[#This Row],[test-allvar]], Table156[[#This Row],[operation-idx]]+LEN(Table156[[#This Row],[operation]]), 9999)</f>
        <v>cfa-ll-share-na</v>
      </c>
      <c r="O8" s="1" t="str">
        <f>IFERROR( LEFT(Table156[[#This Row],[sut]], FIND("-", Table156[[#This Row],[sut]])-1), Table156[[#This Row],[sut]])</f>
        <v>cfa</v>
      </c>
      <c r="P8" s="1" t="str">
        <f>IF(Table156[[#This Row],[sut-platform]]="cfa", MID(Table156[[#This Row],[sut]], 5, 2), "~na~")</f>
        <v>ll</v>
      </c>
      <c r="Q8" s="1" t="str">
        <f>IF(Table156[[#This Row],[sut-platform]]="cfa", MID(Table156[[#This Row],[sut]], 8, 999), Table156[[#This Row],[sut-cfa-level]])</f>
        <v>share-na</v>
      </c>
      <c r="R8" s="1" t="str">
        <f>IF(Table156[[#This Row],[sut-platform]]="cfa", LEFT(Table156[[#This Row],[suffix-cfa-sharing-alloc]], FIND("-",Table156[[#This Row],[suffix-cfa-sharing-alloc]])-1), "~na~")</f>
        <v>share</v>
      </c>
      <c r="S8" s="1" t="str">
        <f>RIGHT(Table156[[#This Row],[test-allvar]],LEN(Table156[[#This Row],[test-allvar]])-FIND("@",SUBSTITUTE(Table156[[#This Row],[test-allvar]],"-","@",LEN(Table156[[#This Row],[test-allvar]])-LEN(SUBSTITUTE(Table156[[#This Row],[test-allvar]],"-",""))),1))</f>
        <v>na</v>
      </c>
      <c r="T8" s="1" t="str">
        <f>MID(Table156[[#This Row],[corpus]], LEN("corpus-")+1, 999)</f>
        <v>1-50-1.txt</v>
      </c>
      <c r="U8" s="1" t="str">
        <f>LEFT(Table156[[#This Row],[corpus-varsuffix]], FIND(".txt", Table156[[#This Row],[corpus-varsuffix]])-1)</f>
        <v>1-50-1</v>
      </c>
      <c r="V8" s="1">
        <f>INT(LEFT(Table156[[#This Row],[corpus-allvar]], FIND("-", Table156[[#This Row],[corpus-varsuffix]])-1))</f>
        <v>1</v>
      </c>
      <c r="W8" s="1" t="str">
        <f>MID(Table156[[#This Row],[corpus-allvar]], LEN(Table156[[#This Row],[corpus-nstrs]])+2, 999)</f>
        <v>50-1</v>
      </c>
      <c r="X8" s="1">
        <f>INT(LEFT(Table156[[#This Row],[corpus-varsuffix2]], FIND("-", Table156[[#This Row],[corpus-varsuffix2]])-1))</f>
        <v>50</v>
      </c>
      <c r="Y8" s="1">
        <f>INT(MID(Table156[[#This Row],[corpus-varsuffix2]], LEN(Table156[[#This Row],[corpus-meanlen]])+2, 999))</f>
        <v>1</v>
      </c>
      <c r="Z8" s="4">
        <f>Table156[[#This Row],[concatDoneActualCount]]/Table156[[#This Row],[execTimeActualSec]]</f>
        <v>0</v>
      </c>
      <c r="AA8" s="4" t="e">
        <f>CONVERT(Table156[[#This Row],[execTimeActualSec]]/Table156[[#This Row],[concatDoneActualCount]], "s", "ns")</f>
        <v>#DIV/0!</v>
      </c>
      <c r="AB8" s="1" t="str">
        <f>Table156[[#This Row],[corpus-meanlen]]&amp;"-"&amp;Table156[[#This Row],[heapGrowThreshold]]</f>
        <v>50-0.02</v>
      </c>
      <c r="AC8" s="1">
        <f>INDEX(importmem[seclast_req_mem], MATCH(Table156[[#This Row],[memrowid]], importmem[rowid], 0))</f>
        <v>4107966</v>
      </c>
      <c r="AD8" s="1" t="str">
        <f>IF(Table156[[#This Row],[corpusMeanLenChars]]=20, Table156[[#This Row],[mem-amt]], "")</f>
        <v/>
      </c>
      <c r="AE8" s="1">
        <f>IF(Table156[[#This Row],[corpusMeanLenChars]]=50, Table156[[#This Row],[mem-amt]], "")</f>
        <v>4107966</v>
      </c>
      <c r="AF8" s="1" t="str">
        <f>IF(Table156[[#This Row],[corpusMeanLenChars]]=100, Table156[[#This Row],[mem-amt]], "")</f>
        <v/>
      </c>
      <c r="AG8" s="1" t="str">
        <f>IF(Table156[[#This Row],[corpusMeanLenChars]]=200, Table156[[#This Row],[mem-amt]], "")</f>
        <v/>
      </c>
      <c r="AH8" s="1" t="str">
        <f>IF(Table156[[#This Row],[corpusMeanLenChars]]=500, Table156[[#This Row],[mem-amt]], "")</f>
        <v/>
      </c>
    </row>
    <row r="9" spans="1:34" x14ac:dyDescent="0.25">
      <c r="A9" s="1" t="s">
        <v>71</v>
      </c>
      <c r="B9" s="1" t="str">
        <f>Table156[[#This Row],[test]]&amp;"@"&amp;Table156[[#This Row],[corpus]]</f>
        <v>perfexp-cfa-pal-ll-share-na@corpus-1-50-1.txt</v>
      </c>
      <c r="C9" s="5" t="s">
        <v>66</v>
      </c>
      <c r="D9" s="5" t="s">
        <v>61</v>
      </c>
      <c r="E9" s="5">
        <v>0.05</v>
      </c>
      <c r="F9" s="5" t="s">
        <v>45</v>
      </c>
      <c r="G9" s="5">
        <v>1</v>
      </c>
      <c r="H9" s="5">
        <v>50</v>
      </c>
      <c r="I9" s="29">
        <v>255110000</v>
      </c>
      <c r="J9" s="33">
        <v>10.000045999999999</v>
      </c>
      <c r="K9" s="13" t="str">
        <f>MID(Table156[[#This Row],[test]], LEN("perfexp-")+1, 9999)</f>
        <v>cfa-pal-ll-share-na</v>
      </c>
      <c r="L9" s="1">
        <f>FIND("-p", Table156[[#This Row],[test-allvar]])+LEN("-")</f>
        <v>5</v>
      </c>
      <c r="M9" s="1" t="str">
        <f>MID(Table156[[#This Row],[test-allvar]], Table156[[#This Row],[operation-idx]], LEN("pta"))</f>
        <v>pal</v>
      </c>
      <c r="N9" s="1" t="str">
        <f>LEFT(Table156[[#This Row],[test-allvar]], Table156[[#This Row],[operation-idx]]-LEN("-")-1) &amp; MID(Table156[[#This Row],[test-allvar]], Table156[[#This Row],[operation-idx]]+LEN(Table156[[#This Row],[operation]]), 9999)</f>
        <v>cfa-ll-share-na</v>
      </c>
      <c r="O9" s="1" t="str">
        <f>IFERROR( LEFT(Table156[[#This Row],[sut]], FIND("-", Table156[[#This Row],[sut]])-1), Table156[[#This Row],[sut]])</f>
        <v>cfa</v>
      </c>
      <c r="P9" s="1" t="str">
        <f>IF(Table156[[#This Row],[sut-platform]]="cfa", MID(Table156[[#This Row],[sut]], 5, 2), "~na~")</f>
        <v>ll</v>
      </c>
      <c r="Q9" s="1" t="str">
        <f>IF(Table156[[#This Row],[sut-platform]]="cfa", MID(Table156[[#This Row],[sut]], 8, 999), Table156[[#This Row],[sut-cfa-level]])</f>
        <v>share-na</v>
      </c>
      <c r="R9" s="1" t="str">
        <f>IF(Table156[[#This Row],[sut-platform]]="cfa", LEFT(Table156[[#This Row],[suffix-cfa-sharing-alloc]], FIND("-",Table156[[#This Row],[suffix-cfa-sharing-alloc]])-1), "~na~")</f>
        <v>share</v>
      </c>
      <c r="S9" s="1" t="str">
        <f>RIGHT(Table156[[#This Row],[test-allvar]],LEN(Table156[[#This Row],[test-allvar]])-FIND("@",SUBSTITUTE(Table156[[#This Row],[test-allvar]],"-","@",LEN(Table156[[#This Row],[test-allvar]])-LEN(SUBSTITUTE(Table156[[#This Row],[test-allvar]],"-",""))),1))</f>
        <v>na</v>
      </c>
      <c r="T9" s="1" t="str">
        <f>MID(Table156[[#This Row],[corpus]], LEN("corpus-")+1, 999)</f>
        <v>1-50-1.txt</v>
      </c>
      <c r="U9" s="1" t="str">
        <f>LEFT(Table156[[#This Row],[corpus-varsuffix]], FIND(".txt", Table156[[#This Row],[corpus-varsuffix]])-1)</f>
        <v>1-50-1</v>
      </c>
      <c r="V9" s="1">
        <f>INT(LEFT(Table156[[#This Row],[corpus-allvar]], FIND("-", Table156[[#This Row],[corpus-varsuffix]])-1))</f>
        <v>1</v>
      </c>
      <c r="W9" s="1" t="str">
        <f>MID(Table156[[#This Row],[corpus-allvar]], LEN(Table156[[#This Row],[corpus-nstrs]])+2, 999)</f>
        <v>50-1</v>
      </c>
      <c r="X9" s="1">
        <f>INT(LEFT(Table156[[#This Row],[corpus-varsuffix2]], FIND("-", Table156[[#This Row],[corpus-varsuffix2]])-1))</f>
        <v>50</v>
      </c>
      <c r="Y9" s="1">
        <f>INT(MID(Table156[[#This Row],[corpus-varsuffix2]], LEN(Table156[[#This Row],[corpus-meanlen]])+2, 999))</f>
        <v>1</v>
      </c>
      <c r="Z9" s="4">
        <f>Table156[[#This Row],[concatDoneActualCount]]/Table156[[#This Row],[execTimeActualSec]]</f>
        <v>25510882.649939813</v>
      </c>
      <c r="AA9" s="4">
        <f>CONVERT(Table156[[#This Row],[execTimeActualSec]]/Table156[[#This Row],[concatDoneActualCount]], "s", "ns")</f>
        <v>39.198957312531846</v>
      </c>
      <c r="AB9" s="1" t="str">
        <f>Table156[[#This Row],[corpus-meanlen]]&amp;"-"&amp;Table156[[#This Row],[heapGrowThreshold]]</f>
        <v>50-0.05</v>
      </c>
      <c r="AC9" s="1">
        <f>INDEX(importmem[seclast_req_mem], MATCH(Table156[[#This Row],[memrowid]], importmem[rowid], 0))</f>
        <v>1035966</v>
      </c>
      <c r="AD9" s="1" t="str">
        <f>IF(Table156[[#This Row],[corpusMeanLenChars]]=20, Table156[[#This Row],[mem-amt]], "")</f>
        <v/>
      </c>
      <c r="AE9" s="1">
        <f>IF(Table156[[#This Row],[corpusMeanLenChars]]=50, Table156[[#This Row],[mem-amt]], "")</f>
        <v>1035966</v>
      </c>
      <c r="AF9" s="1" t="str">
        <f>IF(Table156[[#This Row],[corpusMeanLenChars]]=100, Table156[[#This Row],[mem-amt]], "")</f>
        <v/>
      </c>
      <c r="AG9" s="1" t="str">
        <f>IF(Table156[[#This Row],[corpusMeanLenChars]]=200, Table156[[#This Row],[mem-amt]], "")</f>
        <v/>
      </c>
      <c r="AH9" s="1" t="str">
        <f>IF(Table156[[#This Row],[corpusMeanLenChars]]=500, Table156[[#This Row],[mem-amt]], "")</f>
        <v/>
      </c>
    </row>
    <row r="10" spans="1:34" x14ac:dyDescent="0.25">
      <c r="A10" s="1" t="s">
        <v>71</v>
      </c>
      <c r="B10" s="1" t="str">
        <f>Table156[[#This Row],[test]]&amp;"@"&amp;Table156[[#This Row],[corpus]]</f>
        <v>perfexp-cfa-pal-ll-share-na@corpus-1-50-1.txt</v>
      </c>
      <c r="C10" s="5" t="s">
        <v>66</v>
      </c>
      <c r="D10" s="5" t="s">
        <v>61</v>
      </c>
      <c r="E10" s="5">
        <v>0.1</v>
      </c>
      <c r="F10" s="5" t="s">
        <v>45</v>
      </c>
      <c r="G10" s="5">
        <v>1</v>
      </c>
      <c r="H10" s="5">
        <v>50</v>
      </c>
      <c r="I10" s="29">
        <v>250770000</v>
      </c>
      <c r="J10" s="33">
        <v>10.000318999999999</v>
      </c>
      <c r="K10" s="13" t="str">
        <f>MID(Table156[[#This Row],[test]], LEN("perfexp-")+1, 9999)</f>
        <v>cfa-pal-ll-share-na</v>
      </c>
      <c r="L10" s="1">
        <f>FIND("-p", Table156[[#This Row],[test-allvar]])+LEN("-")</f>
        <v>5</v>
      </c>
      <c r="M10" s="1" t="str">
        <f>MID(Table156[[#This Row],[test-allvar]], Table156[[#This Row],[operation-idx]], LEN("pta"))</f>
        <v>pal</v>
      </c>
      <c r="N10" s="1" t="str">
        <f>LEFT(Table156[[#This Row],[test-allvar]], Table156[[#This Row],[operation-idx]]-LEN("-")-1) &amp; MID(Table156[[#This Row],[test-allvar]], Table156[[#This Row],[operation-idx]]+LEN(Table156[[#This Row],[operation]]), 9999)</f>
        <v>cfa-ll-share-na</v>
      </c>
      <c r="O10" s="1" t="str">
        <f>IFERROR( LEFT(Table156[[#This Row],[sut]], FIND("-", Table156[[#This Row],[sut]])-1), Table156[[#This Row],[sut]])</f>
        <v>cfa</v>
      </c>
      <c r="P10" s="1" t="str">
        <f>IF(Table156[[#This Row],[sut-platform]]="cfa", MID(Table156[[#This Row],[sut]], 5, 2), "~na~")</f>
        <v>ll</v>
      </c>
      <c r="Q10" s="1" t="str">
        <f>IF(Table156[[#This Row],[sut-platform]]="cfa", MID(Table156[[#This Row],[sut]], 8, 999), Table156[[#This Row],[sut-cfa-level]])</f>
        <v>share-na</v>
      </c>
      <c r="R10" s="1" t="str">
        <f>IF(Table156[[#This Row],[sut-platform]]="cfa", LEFT(Table156[[#This Row],[suffix-cfa-sharing-alloc]], FIND("-",Table156[[#This Row],[suffix-cfa-sharing-alloc]])-1), "~na~")</f>
        <v>share</v>
      </c>
      <c r="S10" s="1" t="str">
        <f>RIGHT(Table156[[#This Row],[test-allvar]],LEN(Table156[[#This Row],[test-allvar]])-FIND("@",SUBSTITUTE(Table156[[#This Row],[test-allvar]],"-","@",LEN(Table156[[#This Row],[test-allvar]])-LEN(SUBSTITUTE(Table156[[#This Row],[test-allvar]],"-",""))),1))</f>
        <v>na</v>
      </c>
      <c r="T10" s="1" t="str">
        <f>MID(Table156[[#This Row],[corpus]], LEN("corpus-")+1, 999)</f>
        <v>1-50-1.txt</v>
      </c>
      <c r="U10" s="1" t="str">
        <f>LEFT(Table156[[#This Row],[corpus-varsuffix]], FIND(".txt", Table156[[#This Row],[corpus-varsuffix]])-1)</f>
        <v>1-50-1</v>
      </c>
      <c r="V10" s="1">
        <f>INT(LEFT(Table156[[#This Row],[corpus-allvar]], FIND("-", Table156[[#This Row],[corpus-varsuffix]])-1))</f>
        <v>1</v>
      </c>
      <c r="W10" s="1" t="str">
        <f>MID(Table156[[#This Row],[corpus-allvar]], LEN(Table156[[#This Row],[corpus-nstrs]])+2, 999)</f>
        <v>50-1</v>
      </c>
      <c r="X10" s="1">
        <f>INT(LEFT(Table156[[#This Row],[corpus-varsuffix2]], FIND("-", Table156[[#This Row],[corpus-varsuffix2]])-1))</f>
        <v>50</v>
      </c>
      <c r="Y10" s="1">
        <f>INT(MID(Table156[[#This Row],[corpus-varsuffix2]], LEN(Table156[[#This Row],[corpus-meanlen]])+2, 999))</f>
        <v>1</v>
      </c>
      <c r="Z10" s="4">
        <f>Table156[[#This Row],[concatDoneActualCount]]/Table156[[#This Row],[execTimeActualSec]]</f>
        <v>25076200.069217794</v>
      </c>
      <c r="AA10" s="4">
        <f>CONVERT(Table156[[#This Row],[execTimeActualSec]]/Table156[[#This Row],[concatDoneActualCount]], "s", "ns")</f>
        <v>39.878450372851617</v>
      </c>
      <c r="AB10" s="1" t="str">
        <f>Table156[[#This Row],[corpus-meanlen]]&amp;"-"&amp;Table156[[#This Row],[heapGrowThreshold]]</f>
        <v>50-0.1</v>
      </c>
      <c r="AC10" s="1">
        <f>INDEX(importmem[seclast_req_mem], MATCH(Table156[[#This Row],[memrowid]], importmem[rowid], 0))</f>
        <v>523966</v>
      </c>
      <c r="AD10" s="1" t="str">
        <f>IF(Table156[[#This Row],[corpusMeanLenChars]]=20, Table156[[#This Row],[mem-amt]], "")</f>
        <v/>
      </c>
      <c r="AE10" s="1">
        <f>IF(Table156[[#This Row],[corpusMeanLenChars]]=50, Table156[[#This Row],[mem-amt]], "")</f>
        <v>523966</v>
      </c>
      <c r="AF10" s="1" t="str">
        <f>IF(Table156[[#This Row],[corpusMeanLenChars]]=100, Table156[[#This Row],[mem-amt]], "")</f>
        <v/>
      </c>
      <c r="AG10" s="1" t="str">
        <f>IF(Table156[[#This Row],[corpusMeanLenChars]]=200, Table156[[#This Row],[mem-amt]], "")</f>
        <v/>
      </c>
      <c r="AH10" s="1" t="str">
        <f>IF(Table156[[#This Row],[corpusMeanLenChars]]=500, Table156[[#This Row],[mem-amt]], "")</f>
        <v/>
      </c>
    </row>
    <row r="11" spans="1:34" x14ac:dyDescent="0.25">
      <c r="A11" s="1" t="s">
        <v>71</v>
      </c>
      <c r="B11" s="1" t="str">
        <f>Table156[[#This Row],[test]]&amp;"@"&amp;Table156[[#This Row],[corpus]]</f>
        <v>perfexp-cfa-pal-ll-share-na@corpus-1-50-1.txt</v>
      </c>
      <c r="C11" s="5" t="s">
        <v>66</v>
      </c>
      <c r="D11" s="5" t="s">
        <v>61</v>
      </c>
      <c r="E11" s="5">
        <v>0.2</v>
      </c>
      <c r="F11" s="5" t="s">
        <v>45</v>
      </c>
      <c r="G11" s="5">
        <v>1</v>
      </c>
      <c r="H11" s="5">
        <v>50</v>
      </c>
      <c r="I11" s="44">
        <v>241000000</v>
      </c>
      <c r="J11" s="33">
        <v>10.000203000000001</v>
      </c>
      <c r="K11" s="13" t="str">
        <f>MID(Table156[[#This Row],[test]], LEN("perfexp-")+1, 9999)</f>
        <v>cfa-pal-ll-share-na</v>
      </c>
      <c r="L11" s="1">
        <f>FIND("-p", Table156[[#This Row],[test-allvar]])+LEN("-")</f>
        <v>5</v>
      </c>
      <c r="M11" s="1" t="str">
        <f>MID(Table156[[#This Row],[test-allvar]], Table156[[#This Row],[operation-idx]], LEN("pta"))</f>
        <v>pal</v>
      </c>
      <c r="N11" s="1" t="str">
        <f>LEFT(Table156[[#This Row],[test-allvar]], Table156[[#This Row],[operation-idx]]-LEN("-")-1) &amp; MID(Table156[[#This Row],[test-allvar]], Table156[[#This Row],[operation-idx]]+LEN(Table156[[#This Row],[operation]]), 9999)</f>
        <v>cfa-ll-share-na</v>
      </c>
      <c r="O11" s="1" t="str">
        <f>IFERROR( LEFT(Table156[[#This Row],[sut]], FIND("-", Table156[[#This Row],[sut]])-1), Table156[[#This Row],[sut]])</f>
        <v>cfa</v>
      </c>
      <c r="P11" s="1" t="str">
        <f>IF(Table156[[#This Row],[sut-platform]]="cfa", MID(Table156[[#This Row],[sut]], 5, 2), "~na~")</f>
        <v>ll</v>
      </c>
      <c r="Q11" s="1" t="str">
        <f>IF(Table156[[#This Row],[sut-platform]]="cfa", MID(Table156[[#This Row],[sut]], 8, 999), Table156[[#This Row],[sut-cfa-level]])</f>
        <v>share-na</v>
      </c>
      <c r="R11" s="1" t="str">
        <f>IF(Table156[[#This Row],[sut-platform]]="cfa", LEFT(Table156[[#This Row],[suffix-cfa-sharing-alloc]], FIND("-",Table156[[#This Row],[suffix-cfa-sharing-alloc]])-1), "~na~")</f>
        <v>share</v>
      </c>
      <c r="S11" s="1" t="str">
        <f>RIGHT(Table156[[#This Row],[test-allvar]],LEN(Table156[[#This Row],[test-allvar]])-FIND("@",SUBSTITUTE(Table156[[#This Row],[test-allvar]],"-","@",LEN(Table156[[#This Row],[test-allvar]])-LEN(SUBSTITUTE(Table156[[#This Row],[test-allvar]],"-",""))),1))</f>
        <v>na</v>
      </c>
      <c r="T11" s="1" t="str">
        <f>MID(Table156[[#This Row],[corpus]], LEN("corpus-")+1, 999)</f>
        <v>1-50-1.txt</v>
      </c>
      <c r="U11" s="1" t="str">
        <f>LEFT(Table156[[#This Row],[corpus-varsuffix]], FIND(".txt", Table156[[#This Row],[corpus-varsuffix]])-1)</f>
        <v>1-50-1</v>
      </c>
      <c r="V11" s="1">
        <f>INT(LEFT(Table156[[#This Row],[corpus-allvar]], FIND("-", Table156[[#This Row],[corpus-varsuffix]])-1))</f>
        <v>1</v>
      </c>
      <c r="W11" s="1" t="str">
        <f>MID(Table156[[#This Row],[corpus-allvar]], LEN(Table156[[#This Row],[corpus-nstrs]])+2, 999)</f>
        <v>50-1</v>
      </c>
      <c r="X11" s="1">
        <f>INT(LEFT(Table156[[#This Row],[corpus-varsuffix2]], FIND("-", Table156[[#This Row],[corpus-varsuffix2]])-1))</f>
        <v>50</v>
      </c>
      <c r="Y11" s="1">
        <f>INT(MID(Table156[[#This Row],[corpus-varsuffix2]], LEN(Table156[[#This Row],[corpus-meanlen]])+2, 999))</f>
        <v>1</v>
      </c>
      <c r="Z11" s="4">
        <f>Table156[[#This Row],[concatDoneActualCount]]/Table156[[#This Row],[execTimeActualSec]]</f>
        <v>24099510.779931165</v>
      </c>
      <c r="AA11" s="4">
        <f>CONVERT(Table156[[#This Row],[execTimeActualSec]]/Table156[[#This Row],[concatDoneActualCount]], "s", "ns")</f>
        <v>41.494618257261415</v>
      </c>
      <c r="AB11" s="1" t="str">
        <f>Table156[[#This Row],[corpus-meanlen]]&amp;"-"&amp;Table156[[#This Row],[heapGrowThreshold]]</f>
        <v>50-0.2</v>
      </c>
      <c r="AC11" s="1">
        <f>INDEX(importmem[seclast_req_mem], MATCH(Table156[[#This Row],[memrowid]], importmem[rowid], 0))</f>
        <v>267966</v>
      </c>
      <c r="AD11" s="1" t="str">
        <f>IF(Table156[[#This Row],[corpusMeanLenChars]]=20, Table156[[#This Row],[mem-amt]], "")</f>
        <v/>
      </c>
      <c r="AE11" s="1">
        <f>IF(Table156[[#This Row],[corpusMeanLenChars]]=50, Table156[[#This Row],[mem-amt]], "")</f>
        <v>267966</v>
      </c>
      <c r="AF11" s="1" t="str">
        <f>IF(Table156[[#This Row],[corpusMeanLenChars]]=100, Table156[[#This Row],[mem-amt]], "")</f>
        <v/>
      </c>
      <c r="AG11" s="1" t="str">
        <f>IF(Table156[[#This Row],[corpusMeanLenChars]]=200, Table156[[#This Row],[mem-amt]], "")</f>
        <v/>
      </c>
      <c r="AH11" s="1" t="str">
        <f>IF(Table156[[#This Row],[corpusMeanLenChars]]=500, Table156[[#This Row],[mem-amt]], "")</f>
        <v/>
      </c>
    </row>
    <row r="12" spans="1:34" x14ac:dyDescent="0.25">
      <c r="A12" s="1" t="s">
        <v>71</v>
      </c>
      <c r="B12" s="1" t="str">
        <f>Table156[[#This Row],[test]]&amp;"@"&amp;Table156[[#This Row],[corpus]]</f>
        <v>perfexp-cfa-pal-ll-share-na@corpus-1-50-1.txt</v>
      </c>
      <c r="C12" s="5" t="s">
        <v>66</v>
      </c>
      <c r="D12" s="5" t="s">
        <v>61</v>
      </c>
      <c r="E12" s="5">
        <v>0.5</v>
      </c>
      <c r="F12" s="5" t="s">
        <v>45</v>
      </c>
      <c r="G12" s="5">
        <v>1</v>
      </c>
      <c r="H12" s="5">
        <v>50</v>
      </c>
      <c r="I12" s="29">
        <v>227630000</v>
      </c>
      <c r="J12" s="33">
        <v>10.000235</v>
      </c>
      <c r="K12" s="13" t="str">
        <f>MID(Table156[[#This Row],[test]], LEN("perfexp-")+1, 9999)</f>
        <v>cfa-pal-ll-share-na</v>
      </c>
      <c r="L12" s="1">
        <f>FIND("-p", Table156[[#This Row],[test-allvar]])+LEN("-")</f>
        <v>5</v>
      </c>
      <c r="M12" s="1" t="str">
        <f>MID(Table156[[#This Row],[test-allvar]], Table156[[#This Row],[operation-idx]], LEN("pta"))</f>
        <v>pal</v>
      </c>
      <c r="N12" s="1" t="str">
        <f>LEFT(Table156[[#This Row],[test-allvar]], Table156[[#This Row],[operation-idx]]-LEN("-")-1) &amp; MID(Table156[[#This Row],[test-allvar]], Table156[[#This Row],[operation-idx]]+LEN(Table156[[#This Row],[operation]]), 9999)</f>
        <v>cfa-ll-share-na</v>
      </c>
      <c r="O12" s="1" t="str">
        <f>IFERROR( LEFT(Table156[[#This Row],[sut]], FIND("-", Table156[[#This Row],[sut]])-1), Table156[[#This Row],[sut]])</f>
        <v>cfa</v>
      </c>
      <c r="P12" s="1" t="str">
        <f>IF(Table156[[#This Row],[sut-platform]]="cfa", MID(Table156[[#This Row],[sut]], 5, 2), "~na~")</f>
        <v>ll</v>
      </c>
      <c r="Q12" s="1" t="str">
        <f>IF(Table156[[#This Row],[sut-platform]]="cfa", MID(Table156[[#This Row],[sut]], 8, 999), Table156[[#This Row],[sut-cfa-level]])</f>
        <v>share-na</v>
      </c>
      <c r="R12" s="1" t="str">
        <f>IF(Table156[[#This Row],[sut-platform]]="cfa", LEFT(Table156[[#This Row],[suffix-cfa-sharing-alloc]], FIND("-",Table156[[#This Row],[suffix-cfa-sharing-alloc]])-1), "~na~")</f>
        <v>share</v>
      </c>
      <c r="S12" s="1" t="str">
        <f>RIGHT(Table156[[#This Row],[test-allvar]],LEN(Table156[[#This Row],[test-allvar]])-FIND("@",SUBSTITUTE(Table156[[#This Row],[test-allvar]],"-","@",LEN(Table156[[#This Row],[test-allvar]])-LEN(SUBSTITUTE(Table156[[#This Row],[test-allvar]],"-",""))),1))</f>
        <v>na</v>
      </c>
      <c r="T12" s="1" t="str">
        <f>MID(Table156[[#This Row],[corpus]], LEN("corpus-")+1, 999)</f>
        <v>1-50-1.txt</v>
      </c>
      <c r="U12" s="1" t="str">
        <f>LEFT(Table156[[#This Row],[corpus-varsuffix]], FIND(".txt", Table156[[#This Row],[corpus-varsuffix]])-1)</f>
        <v>1-50-1</v>
      </c>
      <c r="V12" s="1">
        <f>INT(LEFT(Table156[[#This Row],[corpus-allvar]], FIND("-", Table156[[#This Row],[corpus-varsuffix]])-1))</f>
        <v>1</v>
      </c>
      <c r="W12" s="1" t="str">
        <f>MID(Table156[[#This Row],[corpus-allvar]], LEN(Table156[[#This Row],[corpus-nstrs]])+2, 999)</f>
        <v>50-1</v>
      </c>
      <c r="X12" s="1">
        <f>INT(LEFT(Table156[[#This Row],[corpus-varsuffix2]], FIND("-", Table156[[#This Row],[corpus-varsuffix2]])-1))</f>
        <v>50</v>
      </c>
      <c r="Y12" s="1">
        <f>INT(MID(Table156[[#This Row],[corpus-varsuffix2]], LEN(Table156[[#This Row],[corpus-meanlen]])+2, 999))</f>
        <v>1</v>
      </c>
      <c r="Z12" s="4">
        <f>Table156[[#This Row],[concatDoneActualCount]]/Table156[[#This Row],[execTimeActualSec]]</f>
        <v>22762465.08207057</v>
      </c>
      <c r="AA12" s="4">
        <f>CONVERT(Table156[[#This Row],[execTimeActualSec]]/Table156[[#This Row],[concatDoneActualCount]], "s", "ns")</f>
        <v>43.931972938540611</v>
      </c>
      <c r="AB12" s="1" t="str">
        <f>Table156[[#This Row],[corpus-meanlen]]&amp;"-"&amp;Table156[[#This Row],[heapGrowThreshold]]</f>
        <v>50-0.5</v>
      </c>
      <c r="AC12" s="1">
        <f>INDEX(importmem[seclast_req_mem], MATCH(Table156[[#This Row],[memrowid]], importmem[rowid], 0))</f>
        <v>139966</v>
      </c>
      <c r="AD12" s="1" t="str">
        <f>IF(Table156[[#This Row],[corpusMeanLenChars]]=20, Table156[[#This Row],[mem-amt]], "")</f>
        <v/>
      </c>
      <c r="AE12" s="1">
        <f>IF(Table156[[#This Row],[corpusMeanLenChars]]=50, Table156[[#This Row],[mem-amt]], "")</f>
        <v>139966</v>
      </c>
      <c r="AF12" s="1" t="str">
        <f>IF(Table156[[#This Row],[corpusMeanLenChars]]=100, Table156[[#This Row],[mem-amt]], "")</f>
        <v/>
      </c>
      <c r="AG12" s="1" t="str">
        <f>IF(Table156[[#This Row],[corpusMeanLenChars]]=200, Table156[[#This Row],[mem-amt]], "")</f>
        <v/>
      </c>
      <c r="AH12" s="1" t="str">
        <f>IF(Table156[[#This Row],[corpusMeanLenChars]]=500, Table156[[#This Row],[mem-amt]], "")</f>
        <v/>
      </c>
    </row>
    <row r="13" spans="1:34" x14ac:dyDescent="0.25">
      <c r="A13" s="1" t="s">
        <v>71</v>
      </c>
      <c r="B13" s="1" t="str">
        <f>Table156[[#This Row],[test]]&amp;"@"&amp;Table156[[#This Row],[corpus]]</f>
        <v>perfexp-cfa-pal-ll-share-na@corpus-1-50-1.txt</v>
      </c>
      <c r="C13" s="5" t="s">
        <v>66</v>
      </c>
      <c r="D13" s="5" t="s">
        <v>61</v>
      </c>
      <c r="E13" s="5">
        <v>0.9</v>
      </c>
      <c r="F13" s="5" t="s">
        <v>45</v>
      </c>
      <c r="G13" s="5">
        <v>1</v>
      </c>
      <c r="H13" s="5">
        <v>50</v>
      </c>
      <c r="I13" s="29">
        <v>179660000</v>
      </c>
      <c r="J13" s="33">
        <v>10.000283</v>
      </c>
      <c r="K13" s="13" t="str">
        <f>MID(Table156[[#This Row],[test]], LEN("perfexp-")+1, 9999)</f>
        <v>cfa-pal-ll-share-na</v>
      </c>
      <c r="L13" s="1">
        <f>FIND("-p", Table156[[#This Row],[test-allvar]])+LEN("-")</f>
        <v>5</v>
      </c>
      <c r="M13" s="1" t="str">
        <f>MID(Table156[[#This Row],[test-allvar]], Table156[[#This Row],[operation-idx]], LEN("pta"))</f>
        <v>pal</v>
      </c>
      <c r="N13" s="1" t="str">
        <f>LEFT(Table156[[#This Row],[test-allvar]], Table156[[#This Row],[operation-idx]]-LEN("-")-1) &amp; MID(Table156[[#This Row],[test-allvar]], Table156[[#This Row],[operation-idx]]+LEN(Table156[[#This Row],[operation]]), 9999)</f>
        <v>cfa-ll-share-na</v>
      </c>
      <c r="O13" s="1" t="str">
        <f>IFERROR( LEFT(Table156[[#This Row],[sut]], FIND("-", Table156[[#This Row],[sut]])-1), Table156[[#This Row],[sut]])</f>
        <v>cfa</v>
      </c>
      <c r="P13" s="1" t="str">
        <f>IF(Table156[[#This Row],[sut-platform]]="cfa", MID(Table156[[#This Row],[sut]], 5, 2), "~na~")</f>
        <v>ll</v>
      </c>
      <c r="Q13" s="1" t="str">
        <f>IF(Table156[[#This Row],[sut-platform]]="cfa", MID(Table156[[#This Row],[sut]], 8, 999), Table156[[#This Row],[sut-cfa-level]])</f>
        <v>share-na</v>
      </c>
      <c r="R13" s="1" t="str">
        <f>IF(Table156[[#This Row],[sut-platform]]="cfa", LEFT(Table156[[#This Row],[suffix-cfa-sharing-alloc]], FIND("-",Table156[[#This Row],[suffix-cfa-sharing-alloc]])-1), "~na~")</f>
        <v>share</v>
      </c>
      <c r="S13" s="1" t="str">
        <f>RIGHT(Table156[[#This Row],[test-allvar]],LEN(Table156[[#This Row],[test-allvar]])-FIND("@",SUBSTITUTE(Table156[[#This Row],[test-allvar]],"-","@",LEN(Table156[[#This Row],[test-allvar]])-LEN(SUBSTITUTE(Table156[[#This Row],[test-allvar]],"-",""))),1))</f>
        <v>na</v>
      </c>
      <c r="T13" s="1" t="str">
        <f>MID(Table156[[#This Row],[corpus]], LEN("corpus-")+1, 999)</f>
        <v>1-50-1.txt</v>
      </c>
      <c r="U13" s="1" t="str">
        <f>LEFT(Table156[[#This Row],[corpus-varsuffix]], FIND(".txt", Table156[[#This Row],[corpus-varsuffix]])-1)</f>
        <v>1-50-1</v>
      </c>
      <c r="V13" s="1">
        <f>INT(LEFT(Table156[[#This Row],[corpus-allvar]], FIND("-", Table156[[#This Row],[corpus-varsuffix]])-1))</f>
        <v>1</v>
      </c>
      <c r="W13" s="1" t="str">
        <f>MID(Table156[[#This Row],[corpus-allvar]], LEN(Table156[[#This Row],[corpus-nstrs]])+2, 999)</f>
        <v>50-1</v>
      </c>
      <c r="X13" s="1">
        <f>INT(LEFT(Table156[[#This Row],[corpus-varsuffix2]], FIND("-", Table156[[#This Row],[corpus-varsuffix2]])-1))</f>
        <v>50</v>
      </c>
      <c r="Y13" s="1">
        <f>INT(MID(Table156[[#This Row],[corpus-varsuffix2]], LEN(Table156[[#This Row],[corpus-meanlen]])+2, 999))</f>
        <v>1</v>
      </c>
      <c r="Z13" s="4">
        <f>Table156[[#This Row],[concatDoneActualCount]]/Table156[[#This Row],[execTimeActualSec]]</f>
        <v>17965491.576588385</v>
      </c>
      <c r="AA13" s="4">
        <f>CONVERT(Table156[[#This Row],[execTimeActualSec]]/Table156[[#This Row],[concatDoneActualCount]], "s", "ns")</f>
        <v>55.662267616609149</v>
      </c>
      <c r="AB13" s="1" t="str">
        <f>Table156[[#This Row],[corpus-meanlen]]&amp;"-"&amp;Table156[[#This Row],[heapGrowThreshold]]</f>
        <v>50-0.9</v>
      </c>
      <c r="AC13" s="1">
        <f>INDEX(importmem[seclast_req_mem], MATCH(Table156[[#This Row],[memrowid]], importmem[rowid], 0))</f>
        <v>75966</v>
      </c>
      <c r="AD13" s="1" t="str">
        <f>IF(Table156[[#This Row],[corpusMeanLenChars]]=20, Table156[[#This Row],[mem-amt]], "")</f>
        <v/>
      </c>
      <c r="AE13" s="1">
        <f>IF(Table156[[#This Row],[corpusMeanLenChars]]=50, Table156[[#This Row],[mem-amt]], "")</f>
        <v>75966</v>
      </c>
      <c r="AF13" s="1" t="str">
        <f>IF(Table156[[#This Row],[corpusMeanLenChars]]=100, Table156[[#This Row],[mem-amt]], "")</f>
        <v/>
      </c>
      <c r="AG13" s="1" t="str">
        <f>IF(Table156[[#This Row],[corpusMeanLenChars]]=200, Table156[[#This Row],[mem-amt]], "")</f>
        <v/>
      </c>
      <c r="AH13" s="1" t="str">
        <f>IF(Table156[[#This Row],[corpusMeanLenChars]]=500, Table156[[#This Row],[mem-amt]], "")</f>
        <v/>
      </c>
    </row>
    <row r="14" spans="1:34" x14ac:dyDescent="0.25">
      <c r="A14" s="1" t="s">
        <v>70</v>
      </c>
      <c r="B14" s="1" t="str">
        <f>Table156[[#This Row],[test]]&amp;"@"&amp;Table156[[#This Row],[corpus]]</f>
        <v>perfexp-cfa-pal-ll-share-na@corpus-1-100-1.txt</v>
      </c>
      <c r="C14" s="5" t="s">
        <v>66</v>
      </c>
      <c r="D14" s="5" t="s">
        <v>56</v>
      </c>
      <c r="E14" s="5">
        <v>0.02</v>
      </c>
      <c r="F14" s="5" t="s">
        <v>45</v>
      </c>
      <c r="G14" s="5">
        <v>1</v>
      </c>
      <c r="H14" s="5">
        <v>100</v>
      </c>
      <c r="I14" s="28"/>
      <c r="J14" s="33">
        <v>10.000014999999999</v>
      </c>
      <c r="K14" t="str">
        <f>MID(Table156[[#This Row],[test]], LEN("perfexp-")+1, 9999)</f>
        <v>cfa-pal-ll-share-na</v>
      </c>
      <c r="L14">
        <f>FIND("-p", Table156[[#This Row],[test-allvar]])+LEN("-")</f>
        <v>5</v>
      </c>
      <c r="M14" t="str">
        <f>MID(Table156[[#This Row],[test-allvar]], Table156[[#This Row],[operation-idx]], LEN("pta"))</f>
        <v>pal</v>
      </c>
      <c r="N14" s="1" t="str">
        <f>LEFT(Table156[[#This Row],[test-allvar]], Table156[[#This Row],[operation-idx]]-LEN("-")-1) &amp; MID(Table156[[#This Row],[test-allvar]], Table156[[#This Row],[operation-idx]]+LEN(Table156[[#This Row],[operation]]), 9999)</f>
        <v>cfa-ll-share-na</v>
      </c>
      <c r="O14" s="1" t="str">
        <f>IFERROR( LEFT(Table156[[#This Row],[sut]], FIND("-", Table156[[#This Row],[sut]])-1), Table156[[#This Row],[sut]])</f>
        <v>cfa</v>
      </c>
      <c r="P14" s="1" t="str">
        <f>IF(Table156[[#This Row],[sut-platform]]="cfa", MID(Table156[[#This Row],[sut]], 5, 2), "~na~")</f>
        <v>ll</v>
      </c>
      <c r="Q14" s="1" t="str">
        <f>IF(Table156[[#This Row],[sut-platform]]="cfa", MID(Table156[[#This Row],[sut]], 8, 999), Table156[[#This Row],[sut-cfa-level]])</f>
        <v>share-na</v>
      </c>
      <c r="R14" s="1" t="str">
        <f>IF(Table156[[#This Row],[sut-platform]]="cfa", LEFT(Table156[[#This Row],[suffix-cfa-sharing-alloc]], FIND("-",Table156[[#This Row],[suffix-cfa-sharing-alloc]])-1), "~na~")</f>
        <v>share</v>
      </c>
      <c r="S14" s="1" t="str">
        <f>RIGHT(Table156[[#This Row],[test-allvar]],LEN(Table156[[#This Row],[test-allvar]])-FIND("@",SUBSTITUTE(Table156[[#This Row],[test-allvar]],"-","@",LEN(Table156[[#This Row],[test-allvar]])-LEN(SUBSTITUTE(Table156[[#This Row],[test-allvar]],"-",""))),1))</f>
        <v>na</v>
      </c>
      <c r="T14" s="1" t="str">
        <f>MID(Table156[[#This Row],[corpus]], LEN("corpus-")+1, 999)</f>
        <v>1-100-1.txt</v>
      </c>
      <c r="U14" s="1" t="str">
        <f>LEFT(Table156[[#This Row],[corpus-varsuffix]], FIND(".txt", Table156[[#This Row],[corpus-varsuffix]])-1)</f>
        <v>1-100-1</v>
      </c>
      <c r="V14" s="1">
        <f>INT(LEFT(Table156[[#This Row],[corpus-allvar]], FIND("-", Table156[[#This Row],[corpus-varsuffix]])-1))</f>
        <v>1</v>
      </c>
      <c r="W14" s="1" t="str">
        <f>MID(Table156[[#This Row],[corpus-allvar]], LEN(Table156[[#This Row],[corpus-nstrs]])+2, 999)</f>
        <v>100-1</v>
      </c>
      <c r="X14" s="1">
        <f>INT(LEFT(Table156[[#This Row],[corpus-varsuffix2]], FIND("-", Table156[[#This Row],[corpus-varsuffix2]])-1))</f>
        <v>100</v>
      </c>
      <c r="Y14" s="1">
        <f>INT(MID(Table156[[#This Row],[corpus-varsuffix2]], LEN(Table156[[#This Row],[corpus-meanlen]])+2, 999))</f>
        <v>1</v>
      </c>
      <c r="Z14" s="4">
        <f>Table156[[#This Row],[concatDoneActualCount]]/Table156[[#This Row],[execTimeActualSec]]</f>
        <v>0</v>
      </c>
      <c r="AA14" s="4" t="e">
        <f>CONVERT(Table156[[#This Row],[execTimeActualSec]]/Table156[[#This Row],[concatDoneActualCount]], "s", "ns")</f>
        <v>#DIV/0!</v>
      </c>
      <c r="AB14" s="1" t="str">
        <f>Table156[[#This Row],[corpus-meanlen]]&amp;"-"&amp;Table156[[#This Row],[heapGrowThreshold]]</f>
        <v>100-0.02</v>
      </c>
      <c r="AC14" s="1">
        <f>INDEX(importmem[seclast_req_mem], MATCH(Table156[[#This Row],[memrowid]], importmem[rowid], 0))</f>
        <v>8203966</v>
      </c>
      <c r="AD14" s="1" t="str">
        <f>IF(Table156[[#This Row],[corpusMeanLenChars]]=20, Table156[[#This Row],[mem-amt]], "")</f>
        <v/>
      </c>
      <c r="AE14" s="1" t="str">
        <f>IF(Table156[[#This Row],[corpusMeanLenChars]]=50, Table156[[#This Row],[mem-amt]], "")</f>
        <v/>
      </c>
      <c r="AF14" s="1">
        <f>IF(Table156[[#This Row],[corpusMeanLenChars]]=100, Table156[[#This Row],[mem-amt]], "")</f>
        <v>8203966</v>
      </c>
      <c r="AG14" s="1" t="str">
        <f>IF(Table156[[#This Row],[corpusMeanLenChars]]=200, Table156[[#This Row],[mem-amt]], "")</f>
        <v/>
      </c>
      <c r="AH14" s="1" t="str">
        <f>IF(Table156[[#This Row],[corpusMeanLenChars]]=500, Table156[[#This Row],[mem-amt]], "")</f>
        <v/>
      </c>
    </row>
    <row r="15" spans="1:34" x14ac:dyDescent="0.25">
      <c r="A15" s="1" t="s">
        <v>70</v>
      </c>
      <c r="B15" s="1" t="str">
        <f>Table156[[#This Row],[test]]&amp;"@"&amp;Table156[[#This Row],[corpus]]</f>
        <v>perfexp-cfa-pal-ll-share-na@corpus-1-100-1.txt</v>
      </c>
      <c r="C15" s="5" t="s">
        <v>66</v>
      </c>
      <c r="D15" s="5" t="s">
        <v>56</v>
      </c>
      <c r="E15" s="5">
        <v>0.05</v>
      </c>
      <c r="F15" s="5" t="s">
        <v>45</v>
      </c>
      <c r="G15" s="5">
        <v>1</v>
      </c>
      <c r="H15" s="5">
        <v>100</v>
      </c>
      <c r="I15" s="28"/>
      <c r="J15" s="33">
        <v>10.000189000000001</v>
      </c>
      <c r="K15" t="str">
        <f>MID(Table156[[#This Row],[test]], LEN("perfexp-")+1, 9999)</f>
        <v>cfa-pal-ll-share-na</v>
      </c>
      <c r="L15">
        <f>FIND("-p", Table156[[#This Row],[test-allvar]])+LEN("-")</f>
        <v>5</v>
      </c>
      <c r="M15" t="str">
        <f>MID(Table156[[#This Row],[test-allvar]], Table156[[#This Row],[operation-idx]], LEN("pta"))</f>
        <v>pal</v>
      </c>
      <c r="N15" s="1" t="str">
        <f>LEFT(Table156[[#This Row],[test-allvar]], Table156[[#This Row],[operation-idx]]-LEN("-")-1) &amp; MID(Table156[[#This Row],[test-allvar]], Table156[[#This Row],[operation-idx]]+LEN(Table156[[#This Row],[operation]]), 9999)</f>
        <v>cfa-ll-share-na</v>
      </c>
      <c r="O15" s="1" t="str">
        <f>IFERROR( LEFT(Table156[[#This Row],[sut]], FIND("-", Table156[[#This Row],[sut]])-1), Table156[[#This Row],[sut]])</f>
        <v>cfa</v>
      </c>
      <c r="P15" s="1" t="str">
        <f>IF(Table156[[#This Row],[sut-platform]]="cfa", MID(Table156[[#This Row],[sut]], 5, 2), "~na~")</f>
        <v>ll</v>
      </c>
      <c r="Q15" s="1" t="str">
        <f>IF(Table156[[#This Row],[sut-platform]]="cfa", MID(Table156[[#This Row],[sut]], 8, 999), Table156[[#This Row],[sut-cfa-level]])</f>
        <v>share-na</v>
      </c>
      <c r="R15" s="1" t="str">
        <f>IF(Table156[[#This Row],[sut-platform]]="cfa", LEFT(Table156[[#This Row],[suffix-cfa-sharing-alloc]], FIND("-",Table156[[#This Row],[suffix-cfa-sharing-alloc]])-1), "~na~")</f>
        <v>share</v>
      </c>
      <c r="S15" s="1" t="str">
        <f>RIGHT(Table156[[#This Row],[test-allvar]],LEN(Table156[[#This Row],[test-allvar]])-FIND("@",SUBSTITUTE(Table156[[#This Row],[test-allvar]],"-","@",LEN(Table156[[#This Row],[test-allvar]])-LEN(SUBSTITUTE(Table156[[#This Row],[test-allvar]],"-",""))),1))</f>
        <v>na</v>
      </c>
      <c r="T15" s="1" t="str">
        <f>MID(Table156[[#This Row],[corpus]], LEN("corpus-")+1, 999)</f>
        <v>1-100-1.txt</v>
      </c>
      <c r="U15" s="1" t="str">
        <f>LEFT(Table156[[#This Row],[corpus-varsuffix]], FIND(".txt", Table156[[#This Row],[corpus-varsuffix]])-1)</f>
        <v>1-100-1</v>
      </c>
      <c r="V15" s="1">
        <f>INT(LEFT(Table156[[#This Row],[corpus-allvar]], FIND("-", Table156[[#This Row],[corpus-varsuffix]])-1))</f>
        <v>1</v>
      </c>
      <c r="W15" s="1" t="str">
        <f>MID(Table156[[#This Row],[corpus-allvar]], LEN(Table156[[#This Row],[corpus-nstrs]])+2, 999)</f>
        <v>100-1</v>
      </c>
      <c r="X15" s="1">
        <f>INT(LEFT(Table156[[#This Row],[corpus-varsuffix2]], FIND("-", Table156[[#This Row],[corpus-varsuffix2]])-1))</f>
        <v>100</v>
      </c>
      <c r="Y15" s="1">
        <f>INT(MID(Table156[[#This Row],[corpus-varsuffix2]], LEN(Table156[[#This Row],[corpus-meanlen]])+2, 999))</f>
        <v>1</v>
      </c>
      <c r="Z15" s="4">
        <f>Table156[[#This Row],[concatDoneActualCount]]/Table156[[#This Row],[execTimeActualSec]]</f>
        <v>0</v>
      </c>
      <c r="AA15" s="4" t="e">
        <f>CONVERT(Table156[[#This Row],[execTimeActualSec]]/Table156[[#This Row],[concatDoneActualCount]], "s", "ns")</f>
        <v>#DIV/0!</v>
      </c>
      <c r="AB15" s="1" t="str">
        <f>Table156[[#This Row],[corpus-meanlen]]&amp;"-"&amp;Table156[[#This Row],[heapGrowThreshold]]</f>
        <v>100-0.05</v>
      </c>
      <c r="AC15" s="1">
        <f>INDEX(importmem[seclast_req_mem], MATCH(Table156[[#This Row],[memrowid]], importmem[rowid], 0))</f>
        <v>2059966</v>
      </c>
      <c r="AD15" s="1" t="str">
        <f>IF(Table156[[#This Row],[corpusMeanLenChars]]=20, Table156[[#This Row],[mem-amt]], "")</f>
        <v/>
      </c>
      <c r="AE15" s="1" t="str">
        <f>IF(Table156[[#This Row],[corpusMeanLenChars]]=50, Table156[[#This Row],[mem-amt]], "")</f>
        <v/>
      </c>
      <c r="AF15" s="1">
        <f>IF(Table156[[#This Row],[corpusMeanLenChars]]=100, Table156[[#This Row],[mem-amt]], "")</f>
        <v>2059966</v>
      </c>
      <c r="AG15" s="1" t="str">
        <f>IF(Table156[[#This Row],[corpusMeanLenChars]]=200, Table156[[#This Row],[mem-amt]], "")</f>
        <v/>
      </c>
      <c r="AH15" s="1" t="str">
        <f>IF(Table156[[#This Row],[corpusMeanLenChars]]=500, Table156[[#This Row],[mem-amt]], "")</f>
        <v/>
      </c>
    </row>
    <row r="16" spans="1:34" x14ac:dyDescent="0.25">
      <c r="A16" s="1" t="s">
        <v>70</v>
      </c>
      <c r="B16" s="1" t="str">
        <f>Table156[[#This Row],[test]]&amp;"@"&amp;Table156[[#This Row],[corpus]]</f>
        <v>perfexp-cfa-pal-ll-share-na@corpus-1-100-1.txt</v>
      </c>
      <c r="C16" s="5" t="s">
        <v>66</v>
      </c>
      <c r="D16" s="27" t="s">
        <v>56</v>
      </c>
      <c r="E16" s="27">
        <v>0.1</v>
      </c>
      <c r="F16" s="5" t="s">
        <v>45</v>
      </c>
      <c r="G16" s="5">
        <v>1</v>
      </c>
      <c r="H16" s="5">
        <v>100</v>
      </c>
      <c r="I16">
        <v>200350000</v>
      </c>
      <c r="J16" s="33">
        <v>10.000149</v>
      </c>
      <c r="K16" t="str">
        <f>MID(Table156[[#This Row],[test]], LEN("perfexp-")+1, 9999)</f>
        <v>cfa-pal-ll-share-na</v>
      </c>
      <c r="L16">
        <f>FIND("-p", Table156[[#This Row],[test-allvar]])+LEN("-")</f>
        <v>5</v>
      </c>
      <c r="M16" t="str">
        <f>MID(Table156[[#This Row],[test-allvar]], Table156[[#This Row],[operation-idx]], LEN("pta"))</f>
        <v>pal</v>
      </c>
      <c r="N16" s="1" t="str">
        <f>LEFT(Table156[[#This Row],[test-allvar]], Table156[[#This Row],[operation-idx]]-LEN("-")-1) &amp; MID(Table156[[#This Row],[test-allvar]], Table156[[#This Row],[operation-idx]]+LEN(Table156[[#This Row],[operation]]), 9999)</f>
        <v>cfa-ll-share-na</v>
      </c>
      <c r="O16" s="1" t="str">
        <f>IFERROR( LEFT(Table156[[#This Row],[sut]], FIND("-", Table156[[#This Row],[sut]])-1), Table156[[#This Row],[sut]])</f>
        <v>cfa</v>
      </c>
      <c r="P16" s="1" t="str">
        <f>IF(Table156[[#This Row],[sut-platform]]="cfa", MID(Table156[[#This Row],[sut]], 5, 2), "~na~")</f>
        <v>ll</v>
      </c>
      <c r="Q16" s="1" t="str">
        <f>IF(Table156[[#This Row],[sut-platform]]="cfa", MID(Table156[[#This Row],[sut]], 8, 999), Table156[[#This Row],[sut-cfa-level]])</f>
        <v>share-na</v>
      </c>
      <c r="R16" s="1" t="str">
        <f>IF(Table156[[#This Row],[sut-platform]]="cfa", LEFT(Table156[[#This Row],[suffix-cfa-sharing-alloc]], FIND("-",Table156[[#This Row],[suffix-cfa-sharing-alloc]])-1), "~na~")</f>
        <v>share</v>
      </c>
      <c r="S16" s="1" t="str">
        <f>RIGHT(Table156[[#This Row],[test-allvar]],LEN(Table156[[#This Row],[test-allvar]])-FIND("@",SUBSTITUTE(Table156[[#This Row],[test-allvar]],"-","@",LEN(Table156[[#This Row],[test-allvar]])-LEN(SUBSTITUTE(Table156[[#This Row],[test-allvar]],"-",""))),1))</f>
        <v>na</v>
      </c>
      <c r="T16" s="1" t="str">
        <f>MID(Table156[[#This Row],[corpus]], LEN("corpus-")+1, 999)</f>
        <v>1-100-1.txt</v>
      </c>
      <c r="U16" s="1" t="str">
        <f>LEFT(Table156[[#This Row],[corpus-varsuffix]], FIND(".txt", Table156[[#This Row],[corpus-varsuffix]])-1)</f>
        <v>1-100-1</v>
      </c>
      <c r="V16" s="1">
        <f>INT(LEFT(Table156[[#This Row],[corpus-allvar]], FIND("-", Table156[[#This Row],[corpus-varsuffix]])-1))</f>
        <v>1</v>
      </c>
      <c r="W16" s="1" t="str">
        <f>MID(Table156[[#This Row],[corpus-allvar]], LEN(Table156[[#This Row],[corpus-nstrs]])+2, 999)</f>
        <v>100-1</v>
      </c>
      <c r="X16" s="1">
        <f>INT(LEFT(Table156[[#This Row],[corpus-varsuffix2]], FIND("-", Table156[[#This Row],[corpus-varsuffix2]])-1))</f>
        <v>100</v>
      </c>
      <c r="Y16" s="1">
        <f>INT(MID(Table156[[#This Row],[corpus-varsuffix2]], LEN(Table156[[#This Row],[corpus-meanlen]])+2, 999))</f>
        <v>1</v>
      </c>
      <c r="Z16" s="4">
        <f>Table156[[#This Row],[concatDoneActualCount]]/Table156[[#This Row],[execTimeActualSec]]</f>
        <v>20034701.482947905</v>
      </c>
      <c r="AA16" s="4">
        <f>CONVERT(Table156[[#This Row],[execTimeActualSec]]/Table156[[#This Row],[concatDoneActualCount]], "s", "ns")</f>
        <v>49.913396556026953</v>
      </c>
      <c r="AB16" s="1" t="str">
        <f>Table156[[#This Row],[corpus-meanlen]]&amp;"-"&amp;Table156[[#This Row],[heapGrowThreshold]]</f>
        <v>100-0.1</v>
      </c>
      <c r="AC16" s="1">
        <f>INDEX(importmem[seclast_req_mem], MATCH(Table156[[#This Row],[memrowid]], importmem[rowid], 0))</f>
        <v>1035966</v>
      </c>
      <c r="AD16" s="1" t="str">
        <f>IF(Table156[[#This Row],[corpusMeanLenChars]]=20, Table156[[#This Row],[mem-amt]], "")</f>
        <v/>
      </c>
      <c r="AE16" s="1" t="str">
        <f>IF(Table156[[#This Row],[corpusMeanLenChars]]=50, Table156[[#This Row],[mem-amt]], "")</f>
        <v/>
      </c>
      <c r="AF16" s="1">
        <f>IF(Table156[[#This Row],[corpusMeanLenChars]]=100, Table156[[#This Row],[mem-amt]], "")</f>
        <v>1035966</v>
      </c>
      <c r="AG16" s="1" t="str">
        <f>IF(Table156[[#This Row],[corpusMeanLenChars]]=200, Table156[[#This Row],[mem-amt]], "")</f>
        <v/>
      </c>
      <c r="AH16" s="1" t="str">
        <f>IF(Table156[[#This Row],[corpusMeanLenChars]]=500, Table156[[#This Row],[mem-amt]], "")</f>
        <v/>
      </c>
    </row>
    <row r="17" spans="1:34" x14ac:dyDescent="0.25">
      <c r="A17" s="1" t="s">
        <v>70</v>
      </c>
      <c r="B17" s="1" t="str">
        <f>Table156[[#This Row],[test]]&amp;"@"&amp;Table156[[#This Row],[corpus]]</f>
        <v>perfexp-cfa-pal-ll-share-na@corpus-1-100-1.txt</v>
      </c>
      <c r="C17" s="5" t="s">
        <v>66</v>
      </c>
      <c r="D17" s="5" t="s">
        <v>56</v>
      </c>
      <c r="E17" s="5">
        <v>0.2</v>
      </c>
      <c r="F17" s="5" t="s">
        <v>45</v>
      </c>
      <c r="G17" s="5">
        <v>1</v>
      </c>
      <c r="H17" s="5">
        <v>100</v>
      </c>
      <c r="I17">
        <v>189490000</v>
      </c>
      <c r="J17" s="33">
        <v>10.000173999999999</v>
      </c>
      <c r="K17" t="str">
        <f>MID(Table156[[#This Row],[test]], LEN("perfexp-")+1, 9999)</f>
        <v>cfa-pal-ll-share-na</v>
      </c>
      <c r="L17">
        <f>FIND("-p", Table156[[#This Row],[test-allvar]])+LEN("-")</f>
        <v>5</v>
      </c>
      <c r="M17" t="str">
        <f>MID(Table156[[#This Row],[test-allvar]], Table156[[#This Row],[operation-idx]], LEN("pta"))</f>
        <v>pal</v>
      </c>
      <c r="N17" s="1" t="str">
        <f>LEFT(Table156[[#This Row],[test-allvar]], Table156[[#This Row],[operation-idx]]-LEN("-")-1) &amp; MID(Table156[[#This Row],[test-allvar]], Table156[[#This Row],[operation-idx]]+LEN(Table156[[#This Row],[operation]]), 9999)</f>
        <v>cfa-ll-share-na</v>
      </c>
      <c r="O17" s="1" t="str">
        <f>IFERROR( LEFT(Table156[[#This Row],[sut]], FIND("-", Table156[[#This Row],[sut]])-1), Table156[[#This Row],[sut]])</f>
        <v>cfa</v>
      </c>
      <c r="P17" s="1" t="str">
        <f>IF(Table156[[#This Row],[sut-platform]]="cfa", MID(Table156[[#This Row],[sut]], 5, 2), "~na~")</f>
        <v>ll</v>
      </c>
      <c r="Q17" s="1" t="str">
        <f>IF(Table156[[#This Row],[sut-platform]]="cfa", MID(Table156[[#This Row],[sut]], 8, 999), Table156[[#This Row],[sut-cfa-level]])</f>
        <v>share-na</v>
      </c>
      <c r="R17" s="1" t="str">
        <f>IF(Table156[[#This Row],[sut-platform]]="cfa", LEFT(Table156[[#This Row],[suffix-cfa-sharing-alloc]], FIND("-",Table156[[#This Row],[suffix-cfa-sharing-alloc]])-1), "~na~")</f>
        <v>share</v>
      </c>
      <c r="S17" s="1" t="str">
        <f>RIGHT(Table156[[#This Row],[test-allvar]],LEN(Table156[[#This Row],[test-allvar]])-FIND("@",SUBSTITUTE(Table156[[#This Row],[test-allvar]],"-","@",LEN(Table156[[#This Row],[test-allvar]])-LEN(SUBSTITUTE(Table156[[#This Row],[test-allvar]],"-",""))),1))</f>
        <v>na</v>
      </c>
      <c r="T17" s="1" t="str">
        <f>MID(Table156[[#This Row],[corpus]], LEN("corpus-")+1, 999)</f>
        <v>1-100-1.txt</v>
      </c>
      <c r="U17" s="1" t="str">
        <f>LEFT(Table156[[#This Row],[corpus-varsuffix]], FIND(".txt", Table156[[#This Row],[corpus-varsuffix]])-1)</f>
        <v>1-100-1</v>
      </c>
      <c r="V17" s="1">
        <f>INT(LEFT(Table156[[#This Row],[corpus-allvar]], FIND("-", Table156[[#This Row],[corpus-varsuffix]])-1))</f>
        <v>1</v>
      </c>
      <c r="W17" s="1" t="str">
        <f>MID(Table156[[#This Row],[corpus-allvar]], LEN(Table156[[#This Row],[corpus-nstrs]])+2, 999)</f>
        <v>100-1</v>
      </c>
      <c r="X17" s="1">
        <f>INT(LEFT(Table156[[#This Row],[corpus-varsuffix2]], FIND("-", Table156[[#This Row],[corpus-varsuffix2]])-1))</f>
        <v>100</v>
      </c>
      <c r="Y17" s="1">
        <f>INT(MID(Table156[[#This Row],[corpus-varsuffix2]], LEN(Table156[[#This Row],[corpus-meanlen]])+2, 999))</f>
        <v>1</v>
      </c>
      <c r="Z17" s="4">
        <f>Table156[[#This Row],[concatDoneActualCount]]/Table156[[#This Row],[execTimeActualSec]]</f>
        <v>18948670.293136902</v>
      </c>
      <c r="AA17" s="4">
        <f>CONVERT(Table156[[#This Row],[execTimeActualSec]]/Table156[[#This Row],[concatDoneActualCount]], "s", "ns")</f>
        <v>52.774151670272836</v>
      </c>
      <c r="AB17" s="1" t="str">
        <f>Table156[[#This Row],[corpus-meanlen]]&amp;"-"&amp;Table156[[#This Row],[heapGrowThreshold]]</f>
        <v>100-0.2</v>
      </c>
      <c r="AC17" s="1">
        <f>INDEX(importmem[seclast_req_mem], MATCH(Table156[[#This Row],[memrowid]], importmem[rowid], 0))</f>
        <v>523966</v>
      </c>
      <c r="AD17" s="1" t="str">
        <f>IF(Table156[[#This Row],[corpusMeanLenChars]]=20, Table156[[#This Row],[mem-amt]], "")</f>
        <v/>
      </c>
      <c r="AE17" s="1" t="str">
        <f>IF(Table156[[#This Row],[corpusMeanLenChars]]=50, Table156[[#This Row],[mem-amt]], "")</f>
        <v/>
      </c>
      <c r="AF17" s="1">
        <f>IF(Table156[[#This Row],[corpusMeanLenChars]]=100, Table156[[#This Row],[mem-amt]], "")</f>
        <v>523966</v>
      </c>
      <c r="AG17" s="1" t="str">
        <f>IF(Table156[[#This Row],[corpusMeanLenChars]]=200, Table156[[#This Row],[mem-amt]], "")</f>
        <v/>
      </c>
      <c r="AH17" s="1" t="str">
        <f>IF(Table156[[#This Row],[corpusMeanLenChars]]=500, Table156[[#This Row],[mem-amt]], "")</f>
        <v/>
      </c>
    </row>
    <row r="18" spans="1:34" x14ac:dyDescent="0.25">
      <c r="A18" s="1" t="s">
        <v>70</v>
      </c>
      <c r="B18" s="1" t="str">
        <f>Table156[[#This Row],[test]]&amp;"@"&amp;Table156[[#This Row],[corpus]]</f>
        <v>perfexp-cfa-pal-ll-share-na@corpus-1-100-1.txt</v>
      </c>
      <c r="C18" s="5" t="s">
        <v>66</v>
      </c>
      <c r="D18" s="5" t="s">
        <v>56</v>
      </c>
      <c r="E18" s="5">
        <v>0.5</v>
      </c>
      <c r="F18" s="5" t="s">
        <v>45</v>
      </c>
      <c r="G18" s="5">
        <v>1</v>
      </c>
      <c r="H18" s="5">
        <v>100</v>
      </c>
      <c r="I18">
        <v>177810000</v>
      </c>
      <c r="J18" s="33">
        <v>10.000429</v>
      </c>
      <c r="K18" t="str">
        <f>MID(Table156[[#This Row],[test]], LEN("perfexp-")+1, 9999)</f>
        <v>cfa-pal-ll-share-na</v>
      </c>
      <c r="L18">
        <f>FIND("-p", Table156[[#This Row],[test-allvar]])+LEN("-")</f>
        <v>5</v>
      </c>
      <c r="M18" t="str">
        <f>MID(Table156[[#This Row],[test-allvar]], Table156[[#This Row],[operation-idx]], LEN("pta"))</f>
        <v>pal</v>
      </c>
      <c r="N18" s="1" t="str">
        <f>LEFT(Table156[[#This Row],[test-allvar]], Table156[[#This Row],[operation-idx]]-LEN("-")-1) &amp; MID(Table156[[#This Row],[test-allvar]], Table156[[#This Row],[operation-idx]]+LEN(Table156[[#This Row],[operation]]), 9999)</f>
        <v>cfa-ll-share-na</v>
      </c>
      <c r="O18" s="1" t="str">
        <f>IFERROR( LEFT(Table156[[#This Row],[sut]], FIND("-", Table156[[#This Row],[sut]])-1), Table156[[#This Row],[sut]])</f>
        <v>cfa</v>
      </c>
      <c r="P18" s="1" t="str">
        <f>IF(Table156[[#This Row],[sut-platform]]="cfa", MID(Table156[[#This Row],[sut]], 5, 2), "~na~")</f>
        <v>ll</v>
      </c>
      <c r="Q18" s="1" t="str">
        <f>IF(Table156[[#This Row],[sut-platform]]="cfa", MID(Table156[[#This Row],[sut]], 8, 999), Table156[[#This Row],[sut-cfa-level]])</f>
        <v>share-na</v>
      </c>
      <c r="R18" s="1" t="str">
        <f>IF(Table156[[#This Row],[sut-platform]]="cfa", LEFT(Table156[[#This Row],[suffix-cfa-sharing-alloc]], FIND("-",Table156[[#This Row],[suffix-cfa-sharing-alloc]])-1), "~na~")</f>
        <v>share</v>
      </c>
      <c r="S18" s="1" t="str">
        <f>RIGHT(Table156[[#This Row],[test-allvar]],LEN(Table156[[#This Row],[test-allvar]])-FIND("@",SUBSTITUTE(Table156[[#This Row],[test-allvar]],"-","@",LEN(Table156[[#This Row],[test-allvar]])-LEN(SUBSTITUTE(Table156[[#This Row],[test-allvar]],"-",""))),1))</f>
        <v>na</v>
      </c>
      <c r="T18" s="1" t="str">
        <f>MID(Table156[[#This Row],[corpus]], LEN("corpus-")+1, 999)</f>
        <v>1-100-1.txt</v>
      </c>
      <c r="U18" s="1" t="str">
        <f>LEFT(Table156[[#This Row],[corpus-varsuffix]], FIND(".txt", Table156[[#This Row],[corpus-varsuffix]])-1)</f>
        <v>1-100-1</v>
      </c>
      <c r="V18" s="1">
        <f>INT(LEFT(Table156[[#This Row],[corpus-allvar]], FIND("-", Table156[[#This Row],[corpus-varsuffix]])-1))</f>
        <v>1</v>
      </c>
      <c r="W18" s="1" t="str">
        <f>MID(Table156[[#This Row],[corpus-allvar]], LEN(Table156[[#This Row],[corpus-nstrs]])+2, 999)</f>
        <v>100-1</v>
      </c>
      <c r="X18" s="1">
        <f>INT(LEFT(Table156[[#This Row],[corpus-varsuffix2]], FIND("-", Table156[[#This Row],[corpus-varsuffix2]])-1))</f>
        <v>100</v>
      </c>
      <c r="Y18" s="1">
        <f>INT(MID(Table156[[#This Row],[corpus-varsuffix2]], LEN(Table156[[#This Row],[corpus-meanlen]])+2, 999))</f>
        <v>1</v>
      </c>
      <c r="Z18" s="4">
        <f>Table156[[#This Row],[concatDoneActualCount]]/Table156[[#This Row],[execTimeActualSec]]</f>
        <v>17780237.227822926</v>
      </c>
      <c r="AA18" s="4">
        <f>CONVERT(Table156[[#This Row],[execTimeActualSec]]/Table156[[#This Row],[concatDoneActualCount]], "s", "ns")</f>
        <v>56.242219222765875</v>
      </c>
      <c r="AB18" s="1" t="str">
        <f>Table156[[#This Row],[corpus-meanlen]]&amp;"-"&amp;Table156[[#This Row],[heapGrowThreshold]]</f>
        <v>100-0.5</v>
      </c>
      <c r="AC18" s="1">
        <f>INDEX(importmem[seclast_req_mem], MATCH(Table156[[#This Row],[memrowid]], importmem[rowid], 0))</f>
        <v>267966</v>
      </c>
      <c r="AD18" s="1" t="str">
        <f>IF(Table156[[#This Row],[corpusMeanLenChars]]=20, Table156[[#This Row],[mem-amt]], "")</f>
        <v/>
      </c>
      <c r="AE18" s="1" t="str">
        <f>IF(Table156[[#This Row],[corpusMeanLenChars]]=50, Table156[[#This Row],[mem-amt]], "")</f>
        <v/>
      </c>
      <c r="AF18" s="1">
        <f>IF(Table156[[#This Row],[corpusMeanLenChars]]=100, Table156[[#This Row],[mem-amt]], "")</f>
        <v>267966</v>
      </c>
      <c r="AG18" s="1" t="str">
        <f>IF(Table156[[#This Row],[corpusMeanLenChars]]=200, Table156[[#This Row],[mem-amt]], "")</f>
        <v/>
      </c>
      <c r="AH18" s="1" t="str">
        <f>IF(Table156[[#This Row],[corpusMeanLenChars]]=500, Table156[[#This Row],[mem-amt]], "")</f>
        <v/>
      </c>
    </row>
    <row r="19" spans="1:34" x14ac:dyDescent="0.25">
      <c r="A19" s="1" t="s">
        <v>70</v>
      </c>
      <c r="B19" s="1" t="str">
        <f>Table156[[#This Row],[test]]&amp;"@"&amp;Table156[[#This Row],[corpus]]</f>
        <v>perfexp-cfa-pal-ll-share-na@corpus-1-100-1.txt</v>
      </c>
      <c r="C19" s="5" t="s">
        <v>66</v>
      </c>
      <c r="D19" s="26" t="s">
        <v>56</v>
      </c>
      <c r="E19" s="26">
        <v>0.9</v>
      </c>
      <c r="F19" s="5" t="s">
        <v>45</v>
      </c>
      <c r="G19" s="5">
        <v>1</v>
      </c>
      <c r="H19" s="5">
        <v>100</v>
      </c>
      <c r="I19">
        <v>145370000</v>
      </c>
      <c r="J19" s="33">
        <v>10.000560999999999</v>
      </c>
      <c r="K19" t="str">
        <f>MID(Table156[[#This Row],[test]], LEN("perfexp-")+1, 9999)</f>
        <v>cfa-pal-ll-share-na</v>
      </c>
      <c r="L19">
        <f>FIND("-p", Table156[[#This Row],[test-allvar]])+LEN("-")</f>
        <v>5</v>
      </c>
      <c r="M19" t="str">
        <f>MID(Table156[[#This Row],[test-allvar]], Table156[[#This Row],[operation-idx]], LEN("pta"))</f>
        <v>pal</v>
      </c>
      <c r="N19" s="1" t="str">
        <f>LEFT(Table156[[#This Row],[test-allvar]], Table156[[#This Row],[operation-idx]]-LEN("-")-1) &amp; MID(Table156[[#This Row],[test-allvar]], Table156[[#This Row],[operation-idx]]+LEN(Table156[[#This Row],[operation]]), 9999)</f>
        <v>cfa-ll-share-na</v>
      </c>
      <c r="O19" s="1" t="str">
        <f>IFERROR( LEFT(Table156[[#This Row],[sut]], FIND("-", Table156[[#This Row],[sut]])-1), Table156[[#This Row],[sut]])</f>
        <v>cfa</v>
      </c>
      <c r="P19" s="1" t="str">
        <f>IF(Table156[[#This Row],[sut-platform]]="cfa", MID(Table156[[#This Row],[sut]], 5, 2), "~na~")</f>
        <v>ll</v>
      </c>
      <c r="Q19" s="1" t="str">
        <f>IF(Table156[[#This Row],[sut-platform]]="cfa", MID(Table156[[#This Row],[sut]], 8, 999), Table156[[#This Row],[sut-cfa-level]])</f>
        <v>share-na</v>
      </c>
      <c r="R19" s="1" t="str">
        <f>IF(Table156[[#This Row],[sut-platform]]="cfa", LEFT(Table156[[#This Row],[suffix-cfa-sharing-alloc]], FIND("-",Table156[[#This Row],[suffix-cfa-sharing-alloc]])-1), "~na~")</f>
        <v>share</v>
      </c>
      <c r="S19" s="1" t="str">
        <f>RIGHT(Table156[[#This Row],[test-allvar]],LEN(Table156[[#This Row],[test-allvar]])-FIND("@",SUBSTITUTE(Table156[[#This Row],[test-allvar]],"-","@",LEN(Table156[[#This Row],[test-allvar]])-LEN(SUBSTITUTE(Table156[[#This Row],[test-allvar]],"-",""))),1))</f>
        <v>na</v>
      </c>
      <c r="T19" s="1" t="str">
        <f>MID(Table156[[#This Row],[corpus]], LEN("corpus-")+1, 999)</f>
        <v>1-100-1.txt</v>
      </c>
      <c r="U19" s="1" t="str">
        <f>LEFT(Table156[[#This Row],[corpus-varsuffix]], FIND(".txt", Table156[[#This Row],[corpus-varsuffix]])-1)</f>
        <v>1-100-1</v>
      </c>
      <c r="V19" s="1">
        <f>INT(LEFT(Table156[[#This Row],[corpus-allvar]], FIND("-", Table156[[#This Row],[corpus-varsuffix]])-1))</f>
        <v>1</v>
      </c>
      <c r="W19" s="1" t="str">
        <f>MID(Table156[[#This Row],[corpus-allvar]], LEN(Table156[[#This Row],[corpus-nstrs]])+2, 999)</f>
        <v>100-1</v>
      </c>
      <c r="X19" s="1">
        <f>INT(LEFT(Table156[[#This Row],[corpus-varsuffix2]], FIND("-", Table156[[#This Row],[corpus-varsuffix2]])-1))</f>
        <v>100</v>
      </c>
      <c r="Y19" s="1">
        <f>INT(MID(Table156[[#This Row],[corpus-varsuffix2]], LEN(Table156[[#This Row],[corpus-meanlen]])+2, 999))</f>
        <v>1</v>
      </c>
      <c r="Z19" s="4">
        <f>Table156[[#This Row],[concatDoneActualCount]]/Table156[[#This Row],[execTimeActualSec]]</f>
        <v>14536184.520048426</v>
      </c>
      <c r="AA19" s="4">
        <f>CONVERT(Table156[[#This Row],[execTimeActualSec]]/Table156[[#This Row],[concatDoneActualCount]], "s", "ns")</f>
        <v>68.793843296416043</v>
      </c>
      <c r="AB19" s="1" t="str">
        <f>Table156[[#This Row],[corpus-meanlen]]&amp;"-"&amp;Table156[[#This Row],[heapGrowThreshold]]</f>
        <v>100-0.9</v>
      </c>
      <c r="AC19" s="1">
        <f>INDEX(importmem[seclast_req_mem], MATCH(Table156[[#This Row],[memrowid]], importmem[rowid], 0))</f>
        <v>139966</v>
      </c>
      <c r="AD19" s="1" t="str">
        <f>IF(Table156[[#This Row],[corpusMeanLenChars]]=20, Table156[[#This Row],[mem-amt]], "")</f>
        <v/>
      </c>
      <c r="AE19" s="1" t="str">
        <f>IF(Table156[[#This Row],[corpusMeanLenChars]]=50, Table156[[#This Row],[mem-amt]], "")</f>
        <v/>
      </c>
      <c r="AF19" s="1">
        <f>IF(Table156[[#This Row],[corpusMeanLenChars]]=100, Table156[[#This Row],[mem-amt]], "")</f>
        <v>139966</v>
      </c>
      <c r="AG19" s="1" t="str">
        <f>IF(Table156[[#This Row],[corpusMeanLenChars]]=200, Table156[[#This Row],[mem-amt]], "")</f>
        <v/>
      </c>
      <c r="AH19" s="1" t="str">
        <f>IF(Table156[[#This Row],[corpusMeanLenChars]]=500, Table156[[#This Row],[mem-amt]], "")</f>
        <v/>
      </c>
    </row>
    <row r="20" spans="1:34" x14ac:dyDescent="0.25">
      <c r="A20" s="1" t="s">
        <v>71</v>
      </c>
      <c r="B20" s="1" t="str">
        <f>Table156[[#This Row],[test]]&amp;"@"&amp;Table156[[#This Row],[corpus]]</f>
        <v>perfexp-cfa-pal-ll-share-na@corpus-1-200-1.txt</v>
      </c>
      <c r="C20" s="5" t="s">
        <v>66</v>
      </c>
      <c r="D20" s="5" t="s">
        <v>59</v>
      </c>
      <c r="E20" s="5">
        <v>0.02</v>
      </c>
      <c r="F20" s="5" t="s">
        <v>45</v>
      </c>
      <c r="G20" s="5">
        <v>1</v>
      </c>
      <c r="H20" s="5">
        <v>200</v>
      </c>
      <c r="I20" s="28"/>
      <c r="J20" s="33">
        <v>10.000534999999999</v>
      </c>
      <c r="K20" s="35" t="str">
        <f>MID(Table156[[#This Row],[test]], LEN("perfexp-")+1, 9999)</f>
        <v>cfa-pal-ll-share-na</v>
      </c>
      <c r="L20" s="1">
        <f>FIND("-p", Table156[[#This Row],[test-allvar]])+LEN("-")</f>
        <v>5</v>
      </c>
      <c r="M20" s="1" t="str">
        <f>MID(Table156[[#This Row],[test-allvar]], Table156[[#This Row],[operation-idx]], LEN("pta"))</f>
        <v>pal</v>
      </c>
      <c r="N20" s="1" t="str">
        <f>LEFT(Table156[[#This Row],[test-allvar]], Table156[[#This Row],[operation-idx]]-LEN("-")-1) &amp; MID(Table156[[#This Row],[test-allvar]], Table156[[#This Row],[operation-idx]]+LEN(Table156[[#This Row],[operation]]), 9999)</f>
        <v>cfa-ll-share-na</v>
      </c>
      <c r="O20" s="1" t="str">
        <f>IFERROR( LEFT(Table156[[#This Row],[sut]], FIND("-", Table156[[#This Row],[sut]])-1), Table156[[#This Row],[sut]])</f>
        <v>cfa</v>
      </c>
      <c r="P20" s="1" t="str">
        <f>IF(Table156[[#This Row],[sut-platform]]="cfa", MID(Table156[[#This Row],[sut]], 5, 2), "~na~")</f>
        <v>ll</v>
      </c>
      <c r="Q20" s="1" t="str">
        <f>IF(Table156[[#This Row],[sut-platform]]="cfa", MID(Table156[[#This Row],[sut]], 8, 999), Table156[[#This Row],[sut-cfa-level]])</f>
        <v>share-na</v>
      </c>
      <c r="R20" s="1" t="str">
        <f>IF(Table156[[#This Row],[sut-platform]]="cfa", LEFT(Table156[[#This Row],[suffix-cfa-sharing-alloc]], FIND("-",Table156[[#This Row],[suffix-cfa-sharing-alloc]])-1), "~na~")</f>
        <v>share</v>
      </c>
      <c r="S20" s="1" t="str">
        <f>RIGHT(Table156[[#This Row],[test-allvar]],LEN(Table156[[#This Row],[test-allvar]])-FIND("@",SUBSTITUTE(Table156[[#This Row],[test-allvar]],"-","@",LEN(Table156[[#This Row],[test-allvar]])-LEN(SUBSTITUTE(Table156[[#This Row],[test-allvar]],"-",""))),1))</f>
        <v>na</v>
      </c>
      <c r="T20" s="1" t="str">
        <f>MID(Table156[[#This Row],[corpus]], LEN("corpus-")+1, 999)</f>
        <v>1-200-1.txt</v>
      </c>
      <c r="U20" s="1" t="str">
        <f>LEFT(Table156[[#This Row],[corpus-varsuffix]], FIND(".txt", Table156[[#This Row],[corpus-varsuffix]])-1)</f>
        <v>1-200-1</v>
      </c>
      <c r="V20" s="1">
        <f>INT(LEFT(Table156[[#This Row],[corpus-allvar]], FIND("-", Table156[[#This Row],[corpus-varsuffix]])-1))</f>
        <v>1</v>
      </c>
      <c r="W20" s="1" t="str">
        <f>MID(Table156[[#This Row],[corpus-allvar]], LEN(Table156[[#This Row],[corpus-nstrs]])+2, 999)</f>
        <v>200-1</v>
      </c>
      <c r="X20" s="1">
        <f>INT(LEFT(Table156[[#This Row],[corpus-varsuffix2]], FIND("-", Table156[[#This Row],[corpus-varsuffix2]])-1))</f>
        <v>200</v>
      </c>
      <c r="Y20" s="1">
        <f>INT(MID(Table156[[#This Row],[corpus-varsuffix2]], LEN(Table156[[#This Row],[corpus-meanlen]])+2, 999))</f>
        <v>1</v>
      </c>
      <c r="Z20" s="4">
        <f>Table156[[#This Row],[concatDoneActualCount]]/Table156[[#This Row],[execTimeActualSec]]</f>
        <v>0</v>
      </c>
      <c r="AA20" s="4" t="e">
        <f>CONVERT(Table156[[#This Row],[execTimeActualSec]]/Table156[[#This Row],[concatDoneActualCount]], "s", "ns")</f>
        <v>#DIV/0!</v>
      </c>
      <c r="AB20" s="1" t="str">
        <f>Table156[[#This Row],[corpus-meanlen]]&amp;"-"&amp;Table156[[#This Row],[heapGrowThreshold]]</f>
        <v>200-0.02</v>
      </c>
      <c r="AC20" s="1">
        <f>INDEX(importmem[seclast_req_mem], MATCH(Table156[[#This Row],[memrowid]], importmem[rowid], 0))</f>
        <v>16395966</v>
      </c>
      <c r="AD20" s="1" t="str">
        <f>IF(Table156[[#This Row],[corpusMeanLenChars]]=20, Table156[[#This Row],[mem-amt]], "")</f>
        <v/>
      </c>
      <c r="AE20" s="1" t="str">
        <f>IF(Table156[[#This Row],[corpusMeanLenChars]]=50, Table156[[#This Row],[mem-amt]], "")</f>
        <v/>
      </c>
      <c r="AF20" s="1" t="str">
        <f>IF(Table156[[#This Row],[corpusMeanLenChars]]=100, Table156[[#This Row],[mem-amt]], "")</f>
        <v/>
      </c>
      <c r="AG20" s="1">
        <f>IF(Table156[[#This Row],[corpusMeanLenChars]]=200, Table156[[#This Row],[mem-amt]], "")</f>
        <v>16395966</v>
      </c>
      <c r="AH20" s="1" t="str">
        <f>IF(Table156[[#This Row],[corpusMeanLenChars]]=500, Table156[[#This Row],[mem-amt]], "")</f>
        <v/>
      </c>
    </row>
    <row r="21" spans="1:34" x14ac:dyDescent="0.25">
      <c r="A21" s="1" t="s">
        <v>71</v>
      </c>
      <c r="B21" s="1" t="str">
        <f>Table156[[#This Row],[test]]&amp;"@"&amp;Table156[[#This Row],[corpus]]</f>
        <v>perfexp-cfa-pal-ll-share-na@corpus-1-200-1.txt</v>
      </c>
      <c r="C21" s="5" t="s">
        <v>66</v>
      </c>
      <c r="D21" s="5" t="s">
        <v>59</v>
      </c>
      <c r="E21" s="5">
        <v>0.05</v>
      </c>
      <c r="F21" s="5" t="s">
        <v>45</v>
      </c>
      <c r="G21" s="5">
        <v>1</v>
      </c>
      <c r="H21" s="5">
        <v>200</v>
      </c>
      <c r="I21" s="28"/>
      <c r="J21" s="33">
        <v>10.000517</v>
      </c>
      <c r="K21" s="35" t="str">
        <f>MID(Table156[[#This Row],[test]], LEN("perfexp-")+1, 9999)</f>
        <v>cfa-pal-ll-share-na</v>
      </c>
      <c r="L21" s="1">
        <f>FIND("-p", Table156[[#This Row],[test-allvar]])+LEN("-")</f>
        <v>5</v>
      </c>
      <c r="M21" s="1" t="str">
        <f>MID(Table156[[#This Row],[test-allvar]], Table156[[#This Row],[operation-idx]], LEN("pta"))</f>
        <v>pal</v>
      </c>
      <c r="N21" s="1" t="str">
        <f>LEFT(Table156[[#This Row],[test-allvar]], Table156[[#This Row],[operation-idx]]-LEN("-")-1) &amp; MID(Table156[[#This Row],[test-allvar]], Table156[[#This Row],[operation-idx]]+LEN(Table156[[#This Row],[operation]]), 9999)</f>
        <v>cfa-ll-share-na</v>
      </c>
      <c r="O21" s="1" t="str">
        <f>IFERROR( LEFT(Table156[[#This Row],[sut]], FIND("-", Table156[[#This Row],[sut]])-1), Table156[[#This Row],[sut]])</f>
        <v>cfa</v>
      </c>
      <c r="P21" s="1" t="str">
        <f>IF(Table156[[#This Row],[sut-platform]]="cfa", MID(Table156[[#This Row],[sut]], 5, 2), "~na~")</f>
        <v>ll</v>
      </c>
      <c r="Q21" s="1" t="str">
        <f>IF(Table156[[#This Row],[sut-platform]]="cfa", MID(Table156[[#This Row],[sut]], 8, 999), Table156[[#This Row],[sut-cfa-level]])</f>
        <v>share-na</v>
      </c>
      <c r="R21" s="1" t="str">
        <f>IF(Table156[[#This Row],[sut-platform]]="cfa", LEFT(Table156[[#This Row],[suffix-cfa-sharing-alloc]], FIND("-",Table156[[#This Row],[suffix-cfa-sharing-alloc]])-1), "~na~")</f>
        <v>share</v>
      </c>
      <c r="S21" s="1" t="str">
        <f>RIGHT(Table156[[#This Row],[test-allvar]],LEN(Table156[[#This Row],[test-allvar]])-FIND("@",SUBSTITUTE(Table156[[#This Row],[test-allvar]],"-","@",LEN(Table156[[#This Row],[test-allvar]])-LEN(SUBSTITUTE(Table156[[#This Row],[test-allvar]],"-",""))),1))</f>
        <v>na</v>
      </c>
      <c r="T21" s="1" t="str">
        <f>MID(Table156[[#This Row],[corpus]], LEN("corpus-")+1, 999)</f>
        <v>1-200-1.txt</v>
      </c>
      <c r="U21" s="1" t="str">
        <f>LEFT(Table156[[#This Row],[corpus-varsuffix]], FIND(".txt", Table156[[#This Row],[corpus-varsuffix]])-1)</f>
        <v>1-200-1</v>
      </c>
      <c r="V21" s="1">
        <f>INT(LEFT(Table156[[#This Row],[corpus-allvar]], FIND("-", Table156[[#This Row],[corpus-varsuffix]])-1))</f>
        <v>1</v>
      </c>
      <c r="W21" s="1" t="str">
        <f>MID(Table156[[#This Row],[corpus-allvar]], LEN(Table156[[#This Row],[corpus-nstrs]])+2, 999)</f>
        <v>200-1</v>
      </c>
      <c r="X21" s="1">
        <f>INT(LEFT(Table156[[#This Row],[corpus-varsuffix2]], FIND("-", Table156[[#This Row],[corpus-varsuffix2]])-1))</f>
        <v>200</v>
      </c>
      <c r="Y21" s="1">
        <f>INT(MID(Table156[[#This Row],[corpus-varsuffix2]], LEN(Table156[[#This Row],[corpus-meanlen]])+2, 999))</f>
        <v>1</v>
      </c>
      <c r="Z21" s="4">
        <f>Table156[[#This Row],[concatDoneActualCount]]/Table156[[#This Row],[execTimeActualSec]]</f>
        <v>0</v>
      </c>
      <c r="AA21" s="4" t="e">
        <f>CONVERT(Table156[[#This Row],[execTimeActualSec]]/Table156[[#This Row],[concatDoneActualCount]], "s", "ns")</f>
        <v>#DIV/0!</v>
      </c>
      <c r="AB21" s="1" t="str">
        <f>Table156[[#This Row],[corpus-meanlen]]&amp;"-"&amp;Table156[[#This Row],[heapGrowThreshold]]</f>
        <v>200-0.05</v>
      </c>
      <c r="AC21" s="1">
        <f>INDEX(importmem[seclast_req_mem], MATCH(Table156[[#This Row],[memrowid]], importmem[rowid], 0))</f>
        <v>4107966</v>
      </c>
      <c r="AD21" s="1" t="str">
        <f>IF(Table156[[#This Row],[corpusMeanLenChars]]=20, Table156[[#This Row],[mem-amt]], "")</f>
        <v/>
      </c>
      <c r="AE21" s="1" t="str">
        <f>IF(Table156[[#This Row],[corpusMeanLenChars]]=50, Table156[[#This Row],[mem-amt]], "")</f>
        <v/>
      </c>
      <c r="AF21" s="1" t="str">
        <f>IF(Table156[[#This Row],[corpusMeanLenChars]]=100, Table156[[#This Row],[mem-amt]], "")</f>
        <v/>
      </c>
      <c r="AG21" s="1">
        <f>IF(Table156[[#This Row],[corpusMeanLenChars]]=200, Table156[[#This Row],[mem-amt]], "")</f>
        <v>4107966</v>
      </c>
      <c r="AH21" s="1" t="str">
        <f>IF(Table156[[#This Row],[corpusMeanLenChars]]=500, Table156[[#This Row],[mem-amt]], "")</f>
        <v/>
      </c>
    </row>
    <row r="22" spans="1:34" x14ac:dyDescent="0.25">
      <c r="A22" s="1" t="s">
        <v>71</v>
      </c>
      <c r="B22" s="1" t="str">
        <f>Table156[[#This Row],[test]]&amp;"@"&amp;Table156[[#This Row],[corpus]]</f>
        <v>perfexp-cfa-pal-ll-share-na@corpus-1-200-1.txt</v>
      </c>
      <c r="C22" s="5" t="s">
        <v>66</v>
      </c>
      <c r="D22" s="5" t="s">
        <v>59</v>
      </c>
      <c r="E22" s="5">
        <v>0.1</v>
      </c>
      <c r="F22" s="5" t="s">
        <v>45</v>
      </c>
      <c r="G22" s="5">
        <v>1</v>
      </c>
      <c r="H22" s="5">
        <v>200</v>
      </c>
      <c r="I22" s="41">
        <v>165710000</v>
      </c>
      <c r="J22" s="33">
        <v>10.000181</v>
      </c>
      <c r="K22" s="35" t="str">
        <f>MID(Table156[[#This Row],[test]], LEN("perfexp-")+1, 9999)</f>
        <v>cfa-pal-ll-share-na</v>
      </c>
      <c r="L22" s="1">
        <f>FIND("-p", Table156[[#This Row],[test-allvar]])+LEN("-")</f>
        <v>5</v>
      </c>
      <c r="M22" s="1" t="str">
        <f>MID(Table156[[#This Row],[test-allvar]], Table156[[#This Row],[operation-idx]], LEN("pta"))</f>
        <v>pal</v>
      </c>
      <c r="N22" s="1" t="str">
        <f>LEFT(Table156[[#This Row],[test-allvar]], Table156[[#This Row],[operation-idx]]-LEN("-")-1) &amp; MID(Table156[[#This Row],[test-allvar]], Table156[[#This Row],[operation-idx]]+LEN(Table156[[#This Row],[operation]]), 9999)</f>
        <v>cfa-ll-share-na</v>
      </c>
      <c r="O22" s="1" t="str">
        <f>IFERROR( LEFT(Table156[[#This Row],[sut]], FIND("-", Table156[[#This Row],[sut]])-1), Table156[[#This Row],[sut]])</f>
        <v>cfa</v>
      </c>
      <c r="P22" s="1" t="str">
        <f>IF(Table156[[#This Row],[sut-platform]]="cfa", MID(Table156[[#This Row],[sut]], 5, 2), "~na~")</f>
        <v>ll</v>
      </c>
      <c r="Q22" s="1" t="str">
        <f>IF(Table156[[#This Row],[sut-platform]]="cfa", MID(Table156[[#This Row],[sut]], 8, 999), Table156[[#This Row],[sut-cfa-level]])</f>
        <v>share-na</v>
      </c>
      <c r="R22" s="1" t="str">
        <f>IF(Table156[[#This Row],[sut-platform]]="cfa", LEFT(Table156[[#This Row],[suffix-cfa-sharing-alloc]], FIND("-",Table156[[#This Row],[suffix-cfa-sharing-alloc]])-1), "~na~")</f>
        <v>share</v>
      </c>
      <c r="S22" s="1" t="str">
        <f>RIGHT(Table156[[#This Row],[test-allvar]],LEN(Table156[[#This Row],[test-allvar]])-FIND("@",SUBSTITUTE(Table156[[#This Row],[test-allvar]],"-","@",LEN(Table156[[#This Row],[test-allvar]])-LEN(SUBSTITUTE(Table156[[#This Row],[test-allvar]],"-",""))),1))</f>
        <v>na</v>
      </c>
      <c r="T22" s="1" t="str">
        <f>MID(Table156[[#This Row],[corpus]], LEN("corpus-")+1, 999)</f>
        <v>1-200-1.txt</v>
      </c>
      <c r="U22" s="1" t="str">
        <f>LEFT(Table156[[#This Row],[corpus-varsuffix]], FIND(".txt", Table156[[#This Row],[corpus-varsuffix]])-1)</f>
        <v>1-200-1</v>
      </c>
      <c r="V22" s="1">
        <f>INT(LEFT(Table156[[#This Row],[corpus-allvar]], FIND("-", Table156[[#This Row],[corpus-varsuffix]])-1))</f>
        <v>1</v>
      </c>
      <c r="W22" s="1" t="str">
        <f>MID(Table156[[#This Row],[corpus-allvar]], LEN(Table156[[#This Row],[corpus-nstrs]])+2, 999)</f>
        <v>200-1</v>
      </c>
      <c r="X22" s="1">
        <f>INT(LEFT(Table156[[#This Row],[corpus-varsuffix2]], FIND("-", Table156[[#This Row],[corpus-varsuffix2]])-1))</f>
        <v>200</v>
      </c>
      <c r="Y22" s="1">
        <f>INT(MID(Table156[[#This Row],[corpus-varsuffix2]], LEN(Table156[[#This Row],[corpus-meanlen]])+2, 999))</f>
        <v>1</v>
      </c>
      <c r="Z22" s="4">
        <f>Table156[[#This Row],[concatDoneActualCount]]/Table156[[#This Row],[execTimeActualSec]]</f>
        <v>16570700.070328727</v>
      </c>
      <c r="AA22" s="4">
        <f>CONVERT(Table156[[#This Row],[execTimeActualSec]]/Table156[[#This Row],[concatDoneActualCount]], "s", "ns")</f>
        <v>60.34748053828978</v>
      </c>
      <c r="AB22" s="1" t="str">
        <f>Table156[[#This Row],[corpus-meanlen]]&amp;"-"&amp;Table156[[#This Row],[heapGrowThreshold]]</f>
        <v>200-0.1</v>
      </c>
      <c r="AC22" s="1">
        <f>INDEX(importmem[seclast_req_mem], MATCH(Table156[[#This Row],[memrowid]], importmem[rowid], 0))</f>
        <v>2059966</v>
      </c>
      <c r="AD22" s="1" t="str">
        <f>IF(Table156[[#This Row],[corpusMeanLenChars]]=20, Table156[[#This Row],[mem-amt]], "")</f>
        <v/>
      </c>
      <c r="AE22" s="1" t="str">
        <f>IF(Table156[[#This Row],[corpusMeanLenChars]]=50, Table156[[#This Row],[mem-amt]], "")</f>
        <v/>
      </c>
      <c r="AF22" s="1" t="str">
        <f>IF(Table156[[#This Row],[corpusMeanLenChars]]=100, Table156[[#This Row],[mem-amt]], "")</f>
        <v/>
      </c>
      <c r="AG22" s="1">
        <f>IF(Table156[[#This Row],[corpusMeanLenChars]]=200, Table156[[#This Row],[mem-amt]], "")</f>
        <v>2059966</v>
      </c>
      <c r="AH22" s="1" t="str">
        <f>IF(Table156[[#This Row],[corpusMeanLenChars]]=500, Table156[[#This Row],[mem-amt]], "")</f>
        <v/>
      </c>
    </row>
    <row r="23" spans="1:34" x14ac:dyDescent="0.25">
      <c r="A23" s="1" t="s">
        <v>71</v>
      </c>
      <c r="B23" s="1" t="str">
        <f>Table156[[#This Row],[test]]&amp;"@"&amp;Table156[[#This Row],[corpus]]</f>
        <v>perfexp-cfa-pal-ll-share-na@corpus-1-200-1.txt</v>
      </c>
      <c r="C23" s="5" t="s">
        <v>66</v>
      </c>
      <c r="D23" s="5" t="s">
        <v>59</v>
      </c>
      <c r="E23" s="5">
        <v>0.2</v>
      </c>
      <c r="F23" s="5" t="s">
        <v>45</v>
      </c>
      <c r="G23" s="5">
        <v>1</v>
      </c>
      <c r="H23" s="5">
        <v>200</v>
      </c>
      <c r="I23" s="41">
        <v>160590000</v>
      </c>
      <c r="J23" s="33">
        <v>10.000189000000001</v>
      </c>
      <c r="K23" s="35" t="str">
        <f>MID(Table156[[#This Row],[test]], LEN("perfexp-")+1, 9999)</f>
        <v>cfa-pal-ll-share-na</v>
      </c>
      <c r="L23" s="1">
        <f>FIND("-p", Table156[[#This Row],[test-allvar]])+LEN("-")</f>
        <v>5</v>
      </c>
      <c r="M23" s="1" t="str">
        <f>MID(Table156[[#This Row],[test-allvar]], Table156[[#This Row],[operation-idx]], LEN("pta"))</f>
        <v>pal</v>
      </c>
      <c r="N23" s="1" t="str">
        <f>LEFT(Table156[[#This Row],[test-allvar]], Table156[[#This Row],[operation-idx]]-LEN("-")-1) &amp; MID(Table156[[#This Row],[test-allvar]], Table156[[#This Row],[operation-idx]]+LEN(Table156[[#This Row],[operation]]), 9999)</f>
        <v>cfa-ll-share-na</v>
      </c>
      <c r="O23" s="1" t="str">
        <f>IFERROR( LEFT(Table156[[#This Row],[sut]], FIND("-", Table156[[#This Row],[sut]])-1), Table156[[#This Row],[sut]])</f>
        <v>cfa</v>
      </c>
      <c r="P23" s="1" t="str">
        <f>IF(Table156[[#This Row],[sut-platform]]="cfa", MID(Table156[[#This Row],[sut]], 5, 2), "~na~")</f>
        <v>ll</v>
      </c>
      <c r="Q23" s="1" t="str">
        <f>IF(Table156[[#This Row],[sut-platform]]="cfa", MID(Table156[[#This Row],[sut]], 8, 999), Table156[[#This Row],[sut-cfa-level]])</f>
        <v>share-na</v>
      </c>
      <c r="R23" s="1" t="str">
        <f>IF(Table156[[#This Row],[sut-platform]]="cfa", LEFT(Table156[[#This Row],[suffix-cfa-sharing-alloc]], FIND("-",Table156[[#This Row],[suffix-cfa-sharing-alloc]])-1), "~na~")</f>
        <v>share</v>
      </c>
      <c r="S23" s="1" t="str">
        <f>RIGHT(Table156[[#This Row],[test-allvar]],LEN(Table156[[#This Row],[test-allvar]])-FIND("@",SUBSTITUTE(Table156[[#This Row],[test-allvar]],"-","@",LEN(Table156[[#This Row],[test-allvar]])-LEN(SUBSTITUTE(Table156[[#This Row],[test-allvar]],"-",""))),1))</f>
        <v>na</v>
      </c>
      <c r="T23" s="1" t="str">
        <f>MID(Table156[[#This Row],[corpus]], LEN("corpus-")+1, 999)</f>
        <v>1-200-1.txt</v>
      </c>
      <c r="U23" s="1" t="str">
        <f>LEFT(Table156[[#This Row],[corpus-varsuffix]], FIND(".txt", Table156[[#This Row],[corpus-varsuffix]])-1)</f>
        <v>1-200-1</v>
      </c>
      <c r="V23" s="1">
        <f>INT(LEFT(Table156[[#This Row],[corpus-allvar]], FIND("-", Table156[[#This Row],[corpus-varsuffix]])-1))</f>
        <v>1</v>
      </c>
      <c r="W23" s="1" t="str">
        <f>MID(Table156[[#This Row],[corpus-allvar]], LEN(Table156[[#This Row],[corpus-nstrs]])+2, 999)</f>
        <v>200-1</v>
      </c>
      <c r="X23" s="1">
        <f>INT(LEFT(Table156[[#This Row],[corpus-varsuffix2]], FIND("-", Table156[[#This Row],[corpus-varsuffix2]])-1))</f>
        <v>200</v>
      </c>
      <c r="Y23" s="1">
        <f>INT(MID(Table156[[#This Row],[corpus-varsuffix2]], LEN(Table156[[#This Row],[corpus-meanlen]])+2, 999))</f>
        <v>1</v>
      </c>
      <c r="Z23" s="4">
        <f>Table156[[#This Row],[concatDoneActualCount]]/Table156[[#This Row],[execTimeActualSec]]</f>
        <v>16058696.490636326</v>
      </c>
      <c r="AA23" s="4">
        <f>CONVERT(Table156[[#This Row],[execTimeActualSec]]/Table156[[#This Row],[concatDoneActualCount]], "s", "ns")</f>
        <v>62.271554891338198</v>
      </c>
      <c r="AB23" s="1" t="str">
        <f>Table156[[#This Row],[corpus-meanlen]]&amp;"-"&amp;Table156[[#This Row],[heapGrowThreshold]]</f>
        <v>200-0.2</v>
      </c>
      <c r="AC23" s="1">
        <f>INDEX(importmem[seclast_req_mem], MATCH(Table156[[#This Row],[memrowid]], importmem[rowid], 0))</f>
        <v>1035966</v>
      </c>
      <c r="AD23" s="1" t="str">
        <f>IF(Table156[[#This Row],[corpusMeanLenChars]]=20, Table156[[#This Row],[mem-amt]], "")</f>
        <v/>
      </c>
      <c r="AE23" s="1" t="str">
        <f>IF(Table156[[#This Row],[corpusMeanLenChars]]=50, Table156[[#This Row],[mem-amt]], "")</f>
        <v/>
      </c>
      <c r="AF23" s="1" t="str">
        <f>IF(Table156[[#This Row],[corpusMeanLenChars]]=100, Table156[[#This Row],[mem-amt]], "")</f>
        <v/>
      </c>
      <c r="AG23" s="1">
        <f>IF(Table156[[#This Row],[corpusMeanLenChars]]=200, Table156[[#This Row],[mem-amt]], "")</f>
        <v>1035966</v>
      </c>
      <c r="AH23" s="1" t="str">
        <f>IF(Table156[[#This Row],[corpusMeanLenChars]]=500, Table156[[#This Row],[mem-amt]], "")</f>
        <v/>
      </c>
    </row>
    <row r="24" spans="1:34" x14ac:dyDescent="0.25">
      <c r="A24" s="1" t="s">
        <v>71</v>
      </c>
      <c r="B24" s="1" t="str">
        <f>Table156[[#This Row],[test]]&amp;"@"&amp;Table156[[#This Row],[corpus]]</f>
        <v>perfexp-cfa-pal-ll-share-na@corpus-1-200-1.txt</v>
      </c>
      <c r="C24" s="5" t="s">
        <v>66</v>
      </c>
      <c r="D24" s="5" t="s">
        <v>59</v>
      </c>
      <c r="E24" s="5">
        <v>0.5</v>
      </c>
      <c r="F24" s="5" t="s">
        <v>45</v>
      </c>
      <c r="G24" s="5">
        <v>1</v>
      </c>
      <c r="H24" s="5">
        <v>200</v>
      </c>
      <c r="I24" s="41">
        <v>150820000</v>
      </c>
      <c r="J24" s="33">
        <v>10.000651</v>
      </c>
      <c r="K24" s="35" t="str">
        <f>MID(Table156[[#This Row],[test]], LEN("perfexp-")+1, 9999)</f>
        <v>cfa-pal-ll-share-na</v>
      </c>
      <c r="L24" s="1">
        <f>FIND("-p", Table156[[#This Row],[test-allvar]])+LEN("-")</f>
        <v>5</v>
      </c>
      <c r="M24" s="1" t="str">
        <f>MID(Table156[[#This Row],[test-allvar]], Table156[[#This Row],[operation-idx]], LEN("pta"))</f>
        <v>pal</v>
      </c>
      <c r="N24" s="1" t="str">
        <f>LEFT(Table156[[#This Row],[test-allvar]], Table156[[#This Row],[operation-idx]]-LEN("-")-1) &amp; MID(Table156[[#This Row],[test-allvar]], Table156[[#This Row],[operation-idx]]+LEN(Table156[[#This Row],[operation]]), 9999)</f>
        <v>cfa-ll-share-na</v>
      </c>
      <c r="O24" s="1" t="str">
        <f>IFERROR( LEFT(Table156[[#This Row],[sut]], FIND("-", Table156[[#This Row],[sut]])-1), Table156[[#This Row],[sut]])</f>
        <v>cfa</v>
      </c>
      <c r="P24" s="1" t="str">
        <f>IF(Table156[[#This Row],[sut-platform]]="cfa", MID(Table156[[#This Row],[sut]], 5, 2), "~na~")</f>
        <v>ll</v>
      </c>
      <c r="Q24" s="1" t="str">
        <f>IF(Table156[[#This Row],[sut-platform]]="cfa", MID(Table156[[#This Row],[sut]], 8, 999), Table156[[#This Row],[sut-cfa-level]])</f>
        <v>share-na</v>
      </c>
      <c r="R24" s="1" t="str">
        <f>IF(Table156[[#This Row],[sut-platform]]="cfa", LEFT(Table156[[#This Row],[suffix-cfa-sharing-alloc]], FIND("-",Table156[[#This Row],[suffix-cfa-sharing-alloc]])-1), "~na~")</f>
        <v>share</v>
      </c>
      <c r="S24" s="1" t="str">
        <f>RIGHT(Table156[[#This Row],[test-allvar]],LEN(Table156[[#This Row],[test-allvar]])-FIND("@",SUBSTITUTE(Table156[[#This Row],[test-allvar]],"-","@",LEN(Table156[[#This Row],[test-allvar]])-LEN(SUBSTITUTE(Table156[[#This Row],[test-allvar]],"-",""))),1))</f>
        <v>na</v>
      </c>
      <c r="T24" s="1" t="str">
        <f>MID(Table156[[#This Row],[corpus]], LEN("corpus-")+1, 999)</f>
        <v>1-200-1.txt</v>
      </c>
      <c r="U24" s="1" t="str">
        <f>LEFT(Table156[[#This Row],[corpus-varsuffix]], FIND(".txt", Table156[[#This Row],[corpus-varsuffix]])-1)</f>
        <v>1-200-1</v>
      </c>
      <c r="V24" s="1">
        <f>INT(LEFT(Table156[[#This Row],[corpus-allvar]], FIND("-", Table156[[#This Row],[corpus-varsuffix]])-1))</f>
        <v>1</v>
      </c>
      <c r="W24" s="1" t="str">
        <f>MID(Table156[[#This Row],[corpus-allvar]], LEN(Table156[[#This Row],[corpus-nstrs]])+2, 999)</f>
        <v>200-1</v>
      </c>
      <c r="X24" s="1">
        <f>INT(LEFT(Table156[[#This Row],[corpus-varsuffix2]], FIND("-", Table156[[#This Row],[corpus-varsuffix2]])-1))</f>
        <v>200</v>
      </c>
      <c r="Y24" s="1">
        <f>INT(MID(Table156[[#This Row],[corpus-varsuffix2]], LEN(Table156[[#This Row],[corpus-meanlen]])+2, 999))</f>
        <v>1</v>
      </c>
      <c r="Z24" s="4">
        <f>Table156[[#This Row],[concatDoneActualCount]]/Table156[[#This Row],[execTimeActualSec]]</f>
        <v>15081018.225713506</v>
      </c>
      <c r="AA24" s="4">
        <f>CONVERT(Table156[[#This Row],[execTimeActualSec]]/Table156[[#This Row],[concatDoneActualCount]], "s", "ns")</f>
        <v>66.308520090173715</v>
      </c>
      <c r="AB24" s="1" t="str">
        <f>Table156[[#This Row],[corpus-meanlen]]&amp;"-"&amp;Table156[[#This Row],[heapGrowThreshold]]</f>
        <v>200-0.5</v>
      </c>
      <c r="AC24" s="1">
        <f>INDEX(importmem[seclast_req_mem], MATCH(Table156[[#This Row],[memrowid]], importmem[rowid], 0))</f>
        <v>523966</v>
      </c>
      <c r="AD24" s="1" t="str">
        <f>IF(Table156[[#This Row],[corpusMeanLenChars]]=20, Table156[[#This Row],[mem-amt]], "")</f>
        <v/>
      </c>
      <c r="AE24" s="1" t="str">
        <f>IF(Table156[[#This Row],[corpusMeanLenChars]]=50, Table156[[#This Row],[mem-amt]], "")</f>
        <v/>
      </c>
      <c r="AF24" s="1" t="str">
        <f>IF(Table156[[#This Row],[corpusMeanLenChars]]=100, Table156[[#This Row],[mem-amt]], "")</f>
        <v/>
      </c>
      <c r="AG24" s="1">
        <f>IF(Table156[[#This Row],[corpusMeanLenChars]]=200, Table156[[#This Row],[mem-amt]], "")</f>
        <v>523966</v>
      </c>
      <c r="AH24" s="1" t="str">
        <f>IF(Table156[[#This Row],[corpusMeanLenChars]]=500, Table156[[#This Row],[mem-amt]], "")</f>
        <v/>
      </c>
    </row>
    <row r="25" spans="1:34" x14ac:dyDescent="0.25">
      <c r="A25" s="1" t="s">
        <v>71</v>
      </c>
      <c r="B25" s="13" t="str">
        <f>Table156[[#This Row],[test]]&amp;"@"&amp;Table156[[#This Row],[corpus]]</f>
        <v>perfexp-cfa-pal-ll-share-na@corpus-1-200-1.txt</v>
      </c>
      <c r="C25" s="5" t="s">
        <v>66</v>
      </c>
      <c r="D25" s="5" t="s">
        <v>59</v>
      </c>
      <c r="E25" s="5">
        <v>0.9</v>
      </c>
      <c r="F25" s="5" t="s">
        <v>45</v>
      </c>
      <c r="G25" s="5">
        <v>1</v>
      </c>
      <c r="H25" s="5">
        <v>200</v>
      </c>
      <c r="I25" s="41">
        <v>129830000</v>
      </c>
      <c r="J25" s="33">
        <v>10.000360000000001</v>
      </c>
      <c r="K25" s="35" t="str">
        <f>MID(Table156[[#This Row],[test]], LEN("perfexp-")+1, 9999)</f>
        <v>cfa-pal-ll-share-na</v>
      </c>
      <c r="L25" s="13">
        <f>FIND("-p", Table156[[#This Row],[test-allvar]])+LEN("-")</f>
        <v>5</v>
      </c>
      <c r="M25" s="13" t="str">
        <f>MID(Table156[[#This Row],[test-allvar]], Table156[[#This Row],[operation-idx]], LEN("pta"))</f>
        <v>pal</v>
      </c>
      <c r="N25" s="13" t="str">
        <f>LEFT(Table156[[#This Row],[test-allvar]], Table156[[#This Row],[operation-idx]]-LEN("-")-1) &amp; MID(Table156[[#This Row],[test-allvar]], Table156[[#This Row],[operation-idx]]+LEN(Table156[[#This Row],[operation]]), 9999)</f>
        <v>cfa-ll-share-na</v>
      </c>
      <c r="O25" s="13" t="str">
        <f>IFERROR( LEFT(Table156[[#This Row],[sut]], FIND("-", Table156[[#This Row],[sut]])-1), Table156[[#This Row],[sut]])</f>
        <v>cfa</v>
      </c>
      <c r="P25" s="13" t="str">
        <f>IF(Table156[[#This Row],[sut-platform]]="cfa", MID(Table156[[#This Row],[sut]], 5, 2), "~na~")</f>
        <v>ll</v>
      </c>
      <c r="Q25" s="13" t="str">
        <f>IF(Table156[[#This Row],[sut-platform]]="cfa", MID(Table156[[#This Row],[sut]], 8, 999), Table156[[#This Row],[sut-cfa-level]])</f>
        <v>share-na</v>
      </c>
      <c r="R25" s="13" t="str">
        <f>IF(Table156[[#This Row],[sut-platform]]="cfa", LEFT(Table156[[#This Row],[suffix-cfa-sharing-alloc]], FIND("-",Table156[[#This Row],[suffix-cfa-sharing-alloc]])-1), "~na~")</f>
        <v>share</v>
      </c>
      <c r="S25" s="13" t="str">
        <f>RIGHT(Table156[[#This Row],[test-allvar]],LEN(Table156[[#This Row],[test-allvar]])-FIND("@",SUBSTITUTE(Table156[[#This Row],[test-allvar]],"-","@",LEN(Table156[[#This Row],[test-allvar]])-LEN(SUBSTITUTE(Table156[[#This Row],[test-allvar]],"-",""))),1))</f>
        <v>na</v>
      </c>
      <c r="T25" s="13" t="str">
        <f>MID(Table156[[#This Row],[corpus]], LEN("corpus-")+1, 999)</f>
        <v>1-200-1.txt</v>
      </c>
      <c r="U25" s="13" t="str">
        <f>LEFT(Table156[[#This Row],[corpus-varsuffix]], FIND(".txt", Table156[[#This Row],[corpus-varsuffix]])-1)</f>
        <v>1-200-1</v>
      </c>
      <c r="V25" s="13">
        <f>INT(LEFT(Table156[[#This Row],[corpus-allvar]], FIND("-", Table156[[#This Row],[corpus-varsuffix]])-1))</f>
        <v>1</v>
      </c>
      <c r="W25" s="13" t="str">
        <f>MID(Table156[[#This Row],[corpus-allvar]], LEN(Table156[[#This Row],[corpus-nstrs]])+2, 999)</f>
        <v>200-1</v>
      </c>
      <c r="X25" s="13">
        <f>INT(LEFT(Table156[[#This Row],[corpus-varsuffix2]], FIND("-", Table156[[#This Row],[corpus-varsuffix2]])-1))</f>
        <v>200</v>
      </c>
      <c r="Y25" s="13">
        <f>INT(MID(Table156[[#This Row],[corpus-varsuffix2]], LEN(Table156[[#This Row],[corpus-meanlen]])+2, 999))</f>
        <v>1</v>
      </c>
      <c r="Z25" s="25">
        <f>Table156[[#This Row],[concatDoneActualCount]]/Table156[[#This Row],[execTimeActualSec]]</f>
        <v>12982532.628825361</v>
      </c>
      <c r="AA25" s="25">
        <f>CONVERT(Table156[[#This Row],[execTimeActualSec]]/Table156[[#This Row],[concatDoneActualCount]], "s", "ns")</f>
        <v>77.026573211122241</v>
      </c>
      <c r="AB25" s="1" t="str">
        <f>Table156[[#This Row],[corpus-meanlen]]&amp;"-"&amp;Table156[[#This Row],[heapGrowThreshold]]</f>
        <v>200-0.9</v>
      </c>
      <c r="AC25" s="1">
        <f>INDEX(importmem[seclast_req_mem], MATCH(Table156[[#This Row],[memrowid]], importmem[rowid], 0))</f>
        <v>267966</v>
      </c>
      <c r="AD25" s="1" t="str">
        <f>IF(Table156[[#This Row],[corpusMeanLenChars]]=20, Table156[[#This Row],[mem-amt]], "")</f>
        <v/>
      </c>
      <c r="AE25" s="1" t="str">
        <f>IF(Table156[[#This Row],[corpusMeanLenChars]]=50, Table156[[#This Row],[mem-amt]], "")</f>
        <v/>
      </c>
      <c r="AF25" s="1" t="str">
        <f>IF(Table156[[#This Row],[corpusMeanLenChars]]=100, Table156[[#This Row],[mem-amt]], "")</f>
        <v/>
      </c>
      <c r="AG25" s="1">
        <f>IF(Table156[[#This Row],[corpusMeanLenChars]]=200, Table156[[#This Row],[mem-amt]], "")</f>
        <v>267966</v>
      </c>
      <c r="AH25" s="1" t="str">
        <f>IF(Table156[[#This Row],[corpusMeanLenChars]]=500, Table156[[#This Row],[mem-amt]], "")</f>
        <v/>
      </c>
    </row>
    <row r="26" spans="1:34" x14ac:dyDescent="0.25">
      <c r="A26" s="1" t="s">
        <v>70</v>
      </c>
      <c r="B26" s="1" t="str">
        <f>Table156[[#This Row],[test]]&amp;"@"&amp;Table156[[#This Row],[corpus]]</f>
        <v>perfexp-cfa-pal-ll-share-na@corpus-1-500-1.txt</v>
      </c>
      <c r="C26" s="5" t="s">
        <v>66</v>
      </c>
      <c r="D26" s="5" t="s">
        <v>62</v>
      </c>
      <c r="E26" s="5">
        <v>0.02</v>
      </c>
      <c r="F26" s="5" t="s">
        <v>45</v>
      </c>
      <c r="G26" s="5">
        <v>1</v>
      </c>
      <c r="H26" s="5">
        <v>500</v>
      </c>
      <c r="I26" s="28"/>
      <c r="J26" s="33">
        <v>10.000909999999999</v>
      </c>
      <c r="K26" s="40" t="str">
        <f>MID(Table156[[#This Row],[test]], LEN("perfexp-")+1, 9999)</f>
        <v>cfa-pal-ll-share-na</v>
      </c>
      <c r="L26">
        <f>FIND("-p", Table156[[#This Row],[test-allvar]])+LEN("-")</f>
        <v>5</v>
      </c>
      <c r="M26" t="str">
        <f>MID(Table156[[#This Row],[test-allvar]], Table156[[#This Row],[operation-idx]], LEN("pta"))</f>
        <v>pal</v>
      </c>
      <c r="N26" s="1" t="str">
        <f>LEFT(Table156[[#This Row],[test-allvar]], Table156[[#This Row],[operation-idx]]-LEN("-")-1) &amp; MID(Table156[[#This Row],[test-allvar]], Table156[[#This Row],[operation-idx]]+LEN(Table156[[#This Row],[operation]]), 9999)</f>
        <v>cfa-ll-share-na</v>
      </c>
      <c r="O26" s="1" t="str">
        <f>IFERROR( LEFT(Table156[[#This Row],[sut]], FIND("-", Table156[[#This Row],[sut]])-1), Table156[[#This Row],[sut]])</f>
        <v>cfa</v>
      </c>
      <c r="P26" s="1" t="str">
        <f>IF(Table156[[#This Row],[sut-platform]]="cfa", MID(Table156[[#This Row],[sut]], 5, 2), "~na~")</f>
        <v>ll</v>
      </c>
      <c r="Q26" s="1" t="str">
        <f>IF(Table156[[#This Row],[sut-platform]]="cfa", MID(Table156[[#This Row],[sut]], 8, 999), Table156[[#This Row],[sut-cfa-level]])</f>
        <v>share-na</v>
      </c>
      <c r="R26" s="1" t="str">
        <f>IF(Table156[[#This Row],[sut-platform]]="cfa", LEFT(Table156[[#This Row],[suffix-cfa-sharing-alloc]], FIND("-",Table156[[#This Row],[suffix-cfa-sharing-alloc]])-1), "~na~")</f>
        <v>share</v>
      </c>
      <c r="S26" s="1" t="str">
        <f>RIGHT(Table156[[#This Row],[test-allvar]],LEN(Table156[[#This Row],[test-allvar]])-FIND("@",SUBSTITUTE(Table156[[#This Row],[test-allvar]],"-","@",LEN(Table156[[#This Row],[test-allvar]])-LEN(SUBSTITUTE(Table156[[#This Row],[test-allvar]],"-",""))),1))</f>
        <v>na</v>
      </c>
      <c r="T26" s="1" t="str">
        <f>MID(Table156[[#This Row],[corpus]], LEN("corpus-")+1, 999)</f>
        <v>1-500-1.txt</v>
      </c>
      <c r="U26" s="1" t="str">
        <f>LEFT(Table156[[#This Row],[corpus-varsuffix]], FIND(".txt", Table156[[#This Row],[corpus-varsuffix]])-1)</f>
        <v>1-500-1</v>
      </c>
      <c r="V26" s="1">
        <f>INT(LEFT(Table156[[#This Row],[corpus-allvar]], FIND("-", Table156[[#This Row],[corpus-varsuffix]])-1))</f>
        <v>1</v>
      </c>
      <c r="W26" s="1" t="str">
        <f>MID(Table156[[#This Row],[corpus-allvar]], LEN(Table156[[#This Row],[corpus-nstrs]])+2, 999)</f>
        <v>500-1</v>
      </c>
      <c r="X26" s="1">
        <f>INT(LEFT(Table156[[#This Row],[corpus-varsuffix2]], FIND("-", Table156[[#This Row],[corpus-varsuffix2]])-1))</f>
        <v>500</v>
      </c>
      <c r="Y26" s="1">
        <f>INT(MID(Table156[[#This Row],[corpus-varsuffix2]], LEN(Table156[[#This Row],[corpus-meanlen]])+2, 999))</f>
        <v>1</v>
      </c>
      <c r="Z26" s="4">
        <f>Table156[[#This Row],[concatDoneActualCount]]/Table156[[#This Row],[execTimeActualSec]]</f>
        <v>0</v>
      </c>
      <c r="AA26" s="4" t="e">
        <f>CONVERT(Table156[[#This Row],[execTimeActualSec]]/Table156[[#This Row],[concatDoneActualCount]], "s", "ns")</f>
        <v>#DIV/0!</v>
      </c>
      <c r="AB26" s="1" t="str">
        <f>Table156[[#This Row],[corpus-meanlen]]&amp;"-"&amp;Table156[[#This Row],[heapGrowThreshold]]</f>
        <v>500-0.02</v>
      </c>
      <c r="AC26" s="1">
        <f>INDEX(importmem[seclast_req_mem], MATCH(Table156[[#This Row],[memrowid]], importmem[rowid], 0))</f>
        <v>32779966</v>
      </c>
      <c r="AD26" s="1" t="str">
        <f>IF(Table156[[#This Row],[corpusMeanLenChars]]=20, Table156[[#This Row],[mem-amt]], "")</f>
        <v/>
      </c>
      <c r="AE26" s="1" t="str">
        <f>IF(Table156[[#This Row],[corpusMeanLenChars]]=50, Table156[[#This Row],[mem-amt]], "")</f>
        <v/>
      </c>
      <c r="AF26" s="1" t="str">
        <f>IF(Table156[[#This Row],[corpusMeanLenChars]]=100, Table156[[#This Row],[mem-amt]], "")</f>
        <v/>
      </c>
      <c r="AG26" s="1" t="str">
        <f>IF(Table156[[#This Row],[corpusMeanLenChars]]=200, Table156[[#This Row],[mem-amt]], "")</f>
        <v/>
      </c>
      <c r="AH26" s="1">
        <f>IF(Table156[[#This Row],[corpusMeanLenChars]]=500, Table156[[#This Row],[mem-amt]], "")</f>
        <v>32779966</v>
      </c>
    </row>
    <row r="27" spans="1:34" x14ac:dyDescent="0.25">
      <c r="A27" s="1" t="s">
        <v>70</v>
      </c>
      <c r="B27" s="1" t="str">
        <f>Table156[[#This Row],[test]]&amp;"@"&amp;Table156[[#This Row],[corpus]]</f>
        <v>perfexp-cfa-pal-ll-share-na@corpus-1-500-1.txt</v>
      </c>
      <c r="C27" s="5" t="s">
        <v>66</v>
      </c>
      <c r="D27" s="5" t="s">
        <v>62</v>
      </c>
      <c r="E27" s="5">
        <v>0.05</v>
      </c>
      <c r="F27" s="5" t="s">
        <v>45</v>
      </c>
      <c r="G27" s="5">
        <v>1</v>
      </c>
      <c r="H27" s="5">
        <v>500</v>
      </c>
      <c r="I27" s="28"/>
      <c r="J27" s="33">
        <v>10.001094</v>
      </c>
      <c r="K27" s="40" t="str">
        <f>MID(Table156[[#This Row],[test]], LEN("perfexp-")+1, 9999)</f>
        <v>cfa-pal-ll-share-na</v>
      </c>
      <c r="L27">
        <f>FIND("-p", Table156[[#This Row],[test-allvar]])+LEN("-")</f>
        <v>5</v>
      </c>
      <c r="M27" t="str">
        <f>MID(Table156[[#This Row],[test-allvar]], Table156[[#This Row],[operation-idx]], LEN("pta"))</f>
        <v>pal</v>
      </c>
      <c r="N27" s="1" t="str">
        <f>LEFT(Table156[[#This Row],[test-allvar]], Table156[[#This Row],[operation-idx]]-LEN("-")-1) &amp; MID(Table156[[#This Row],[test-allvar]], Table156[[#This Row],[operation-idx]]+LEN(Table156[[#This Row],[operation]]), 9999)</f>
        <v>cfa-ll-share-na</v>
      </c>
      <c r="O27" s="1" t="str">
        <f>IFERROR( LEFT(Table156[[#This Row],[sut]], FIND("-", Table156[[#This Row],[sut]])-1), Table156[[#This Row],[sut]])</f>
        <v>cfa</v>
      </c>
      <c r="P27" s="1" t="str">
        <f>IF(Table156[[#This Row],[sut-platform]]="cfa", MID(Table156[[#This Row],[sut]], 5, 2), "~na~")</f>
        <v>ll</v>
      </c>
      <c r="Q27" s="1" t="str">
        <f>IF(Table156[[#This Row],[sut-platform]]="cfa", MID(Table156[[#This Row],[sut]], 8, 999), Table156[[#This Row],[sut-cfa-level]])</f>
        <v>share-na</v>
      </c>
      <c r="R27" s="1" t="str">
        <f>IF(Table156[[#This Row],[sut-platform]]="cfa", LEFT(Table156[[#This Row],[suffix-cfa-sharing-alloc]], FIND("-",Table156[[#This Row],[suffix-cfa-sharing-alloc]])-1), "~na~")</f>
        <v>share</v>
      </c>
      <c r="S27" s="1" t="str">
        <f>RIGHT(Table156[[#This Row],[test-allvar]],LEN(Table156[[#This Row],[test-allvar]])-FIND("@",SUBSTITUTE(Table156[[#This Row],[test-allvar]],"-","@",LEN(Table156[[#This Row],[test-allvar]])-LEN(SUBSTITUTE(Table156[[#This Row],[test-allvar]],"-",""))),1))</f>
        <v>na</v>
      </c>
      <c r="T27" s="1" t="str">
        <f>MID(Table156[[#This Row],[corpus]], LEN("corpus-")+1, 999)</f>
        <v>1-500-1.txt</v>
      </c>
      <c r="U27" s="1" t="str">
        <f>LEFT(Table156[[#This Row],[corpus-varsuffix]], FIND(".txt", Table156[[#This Row],[corpus-varsuffix]])-1)</f>
        <v>1-500-1</v>
      </c>
      <c r="V27" s="1">
        <f>INT(LEFT(Table156[[#This Row],[corpus-allvar]], FIND("-", Table156[[#This Row],[corpus-varsuffix]])-1))</f>
        <v>1</v>
      </c>
      <c r="W27" s="1" t="str">
        <f>MID(Table156[[#This Row],[corpus-allvar]], LEN(Table156[[#This Row],[corpus-nstrs]])+2, 999)</f>
        <v>500-1</v>
      </c>
      <c r="X27" s="1">
        <f>INT(LEFT(Table156[[#This Row],[corpus-varsuffix2]], FIND("-", Table156[[#This Row],[corpus-varsuffix2]])-1))</f>
        <v>500</v>
      </c>
      <c r="Y27" s="1">
        <f>INT(MID(Table156[[#This Row],[corpus-varsuffix2]], LEN(Table156[[#This Row],[corpus-meanlen]])+2, 999))</f>
        <v>1</v>
      </c>
      <c r="Z27" s="4">
        <f>Table156[[#This Row],[concatDoneActualCount]]/Table156[[#This Row],[execTimeActualSec]]</f>
        <v>0</v>
      </c>
      <c r="AA27" s="4" t="e">
        <f>CONVERT(Table156[[#This Row],[execTimeActualSec]]/Table156[[#This Row],[concatDoneActualCount]], "s", "ns")</f>
        <v>#DIV/0!</v>
      </c>
      <c r="AB27" s="1" t="str">
        <f>Table156[[#This Row],[corpus-meanlen]]&amp;"-"&amp;Table156[[#This Row],[heapGrowThreshold]]</f>
        <v>500-0.05</v>
      </c>
      <c r="AC27" s="1">
        <f>INDEX(importmem[seclast_req_mem], MATCH(Table156[[#This Row],[memrowid]], importmem[rowid], 0))</f>
        <v>16395966</v>
      </c>
      <c r="AD27" s="1" t="str">
        <f>IF(Table156[[#This Row],[corpusMeanLenChars]]=20, Table156[[#This Row],[mem-amt]], "")</f>
        <v/>
      </c>
      <c r="AE27" s="1" t="str">
        <f>IF(Table156[[#This Row],[corpusMeanLenChars]]=50, Table156[[#This Row],[mem-amt]], "")</f>
        <v/>
      </c>
      <c r="AF27" s="1" t="str">
        <f>IF(Table156[[#This Row],[corpusMeanLenChars]]=100, Table156[[#This Row],[mem-amt]], "")</f>
        <v/>
      </c>
      <c r="AG27" s="1" t="str">
        <f>IF(Table156[[#This Row],[corpusMeanLenChars]]=200, Table156[[#This Row],[mem-amt]], "")</f>
        <v/>
      </c>
      <c r="AH27" s="1">
        <f>IF(Table156[[#This Row],[corpusMeanLenChars]]=500, Table156[[#This Row],[mem-amt]], "")</f>
        <v>16395966</v>
      </c>
    </row>
    <row r="28" spans="1:34" x14ac:dyDescent="0.25">
      <c r="A28" s="1" t="s">
        <v>70</v>
      </c>
      <c r="B28" s="1" t="str">
        <f>Table156[[#This Row],[test]]&amp;"@"&amp;Table156[[#This Row],[corpus]]</f>
        <v>perfexp-cfa-pal-ll-share-na@corpus-1-500-1.txt</v>
      </c>
      <c r="C28" s="5" t="s">
        <v>66</v>
      </c>
      <c r="D28" s="27" t="s">
        <v>62</v>
      </c>
      <c r="E28" s="27">
        <v>0.1</v>
      </c>
      <c r="F28" s="5" t="s">
        <v>45</v>
      </c>
      <c r="G28" s="5">
        <v>1</v>
      </c>
      <c r="H28" s="5">
        <v>500</v>
      </c>
      <c r="I28" s="28"/>
      <c r="J28" s="33">
        <v>10.000859</v>
      </c>
      <c r="K28" s="40" t="str">
        <f>MID(Table156[[#This Row],[test]], LEN("perfexp-")+1, 9999)</f>
        <v>cfa-pal-ll-share-na</v>
      </c>
      <c r="L28">
        <f>FIND("-p", Table156[[#This Row],[test-allvar]])+LEN("-")</f>
        <v>5</v>
      </c>
      <c r="M28" t="str">
        <f>MID(Table156[[#This Row],[test-allvar]], Table156[[#This Row],[operation-idx]], LEN("pta"))</f>
        <v>pal</v>
      </c>
      <c r="N28" s="1" t="str">
        <f>LEFT(Table156[[#This Row],[test-allvar]], Table156[[#This Row],[operation-idx]]-LEN("-")-1) &amp; MID(Table156[[#This Row],[test-allvar]], Table156[[#This Row],[operation-idx]]+LEN(Table156[[#This Row],[operation]]), 9999)</f>
        <v>cfa-ll-share-na</v>
      </c>
      <c r="O28" s="1" t="str">
        <f>IFERROR( LEFT(Table156[[#This Row],[sut]], FIND("-", Table156[[#This Row],[sut]])-1), Table156[[#This Row],[sut]])</f>
        <v>cfa</v>
      </c>
      <c r="P28" s="1" t="str">
        <f>IF(Table156[[#This Row],[sut-platform]]="cfa", MID(Table156[[#This Row],[sut]], 5, 2), "~na~")</f>
        <v>ll</v>
      </c>
      <c r="Q28" s="1" t="str">
        <f>IF(Table156[[#This Row],[sut-platform]]="cfa", MID(Table156[[#This Row],[sut]], 8, 999), Table156[[#This Row],[sut-cfa-level]])</f>
        <v>share-na</v>
      </c>
      <c r="R28" s="1" t="str">
        <f>IF(Table156[[#This Row],[sut-platform]]="cfa", LEFT(Table156[[#This Row],[suffix-cfa-sharing-alloc]], FIND("-",Table156[[#This Row],[suffix-cfa-sharing-alloc]])-1), "~na~")</f>
        <v>share</v>
      </c>
      <c r="S28" s="1" t="str">
        <f>RIGHT(Table156[[#This Row],[test-allvar]],LEN(Table156[[#This Row],[test-allvar]])-FIND("@",SUBSTITUTE(Table156[[#This Row],[test-allvar]],"-","@",LEN(Table156[[#This Row],[test-allvar]])-LEN(SUBSTITUTE(Table156[[#This Row],[test-allvar]],"-",""))),1))</f>
        <v>na</v>
      </c>
      <c r="T28" s="1" t="str">
        <f>MID(Table156[[#This Row],[corpus]], LEN("corpus-")+1, 999)</f>
        <v>1-500-1.txt</v>
      </c>
      <c r="U28" s="1" t="str">
        <f>LEFT(Table156[[#This Row],[corpus-varsuffix]], FIND(".txt", Table156[[#This Row],[corpus-varsuffix]])-1)</f>
        <v>1-500-1</v>
      </c>
      <c r="V28" s="1">
        <f>INT(LEFT(Table156[[#This Row],[corpus-allvar]], FIND("-", Table156[[#This Row],[corpus-varsuffix]])-1))</f>
        <v>1</v>
      </c>
      <c r="W28" s="1" t="str">
        <f>MID(Table156[[#This Row],[corpus-allvar]], LEN(Table156[[#This Row],[corpus-nstrs]])+2, 999)</f>
        <v>500-1</v>
      </c>
      <c r="X28" s="1">
        <f>INT(LEFT(Table156[[#This Row],[corpus-varsuffix2]], FIND("-", Table156[[#This Row],[corpus-varsuffix2]])-1))</f>
        <v>500</v>
      </c>
      <c r="Y28" s="1">
        <f>INT(MID(Table156[[#This Row],[corpus-varsuffix2]], LEN(Table156[[#This Row],[corpus-meanlen]])+2, 999))</f>
        <v>1</v>
      </c>
      <c r="Z28" s="4">
        <f>Table156[[#This Row],[concatDoneActualCount]]/Table156[[#This Row],[execTimeActualSec]]</f>
        <v>0</v>
      </c>
      <c r="AA28" s="4" t="e">
        <f>CONVERT(Table156[[#This Row],[execTimeActualSec]]/Table156[[#This Row],[concatDoneActualCount]], "s", "ns")</f>
        <v>#DIV/0!</v>
      </c>
      <c r="AB28" s="1" t="str">
        <f>Table156[[#This Row],[corpus-meanlen]]&amp;"-"&amp;Table156[[#This Row],[heapGrowThreshold]]</f>
        <v>500-0.1</v>
      </c>
      <c r="AC28" s="1">
        <f>INDEX(importmem[seclast_req_mem], MATCH(Table156[[#This Row],[memrowid]], importmem[rowid], 0))</f>
        <v>8203966</v>
      </c>
      <c r="AD28" s="1" t="str">
        <f>IF(Table156[[#This Row],[corpusMeanLenChars]]=20, Table156[[#This Row],[mem-amt]], "")</f>
        <v/>
      </c>
      <c r="AE28" s="1" t="str">
        <f>IF(Table156[[#This Row],[corpusMeanLenChars]]=50, Table156[[#This Row],[mem-amt]], "")</f>
        <v/>
      </c>
      <c r="AF28" s="1" t="str">
        <f>IF(Table156[[#This Row],[corpusMeanLenChars]]=100, Table156[[#This Row],[mem-amt]], "")</f>
        <v/>
      </c>
      <c r="AG28" s="1" t="str">
        <f>IF(Table156[[#This Row],[corpusMeanLenChars]]=200, Table156[[#This Row],[mem-amt]], "")</f>
        <v/>
      </c>
      <c r="AH28" s="1">
        <f>IF(Table156[[#This Row],[corpusMeanLenChars]]=500, Table156[[#This Row],[mem-amt]], "")</f>
        <v>8203966</v>
      </c>
    </row>
    <row r="29" spans="1:34" x14ac:dyDescent="0.25">
      <c r="A29" s="1" t="s">
        <v>70</v>
      </c>
      <c r="B29" s="1" t="str">
        <f>Table156[[#This Row],[test]]&amp;"@"&amp;Table156[[#This Row],[corpus]]</f>
        <v>perfexp-cfa-pal-ll-share-na@corpus-1-500-1.txt</v>
      </c>
      <c r="C29" s="5" t="s">
        <v>66</v>
      </c>
      <c r="D29" s="5" t="s">
        <v>62</v>
      </c>
      <c r="E29" s="5">
        <v>0.2</v>
      </c>
      <c r="F29" s="5" t="s">
        <v>45</v>
      </c>
      <c r="G29" s="5">
        <v>1</v>
      </c>
      <c r="H29" s="5">
        <v>500</v>
      </c>
      <c r="I29" s="28"/>
      <c r="J29" s="33">
        <v>10.000698999999999</v>
      </c>
      <c r="K29" s="40" t="str">
        <f>MID(Table156[[#This Row],[test]], LEN("perfexp-")+1, 9999)</f>
        <v>cfa-pal-ll-share-na</v>
      </c>
      <c r="L29">
        <f>FIND("-p", Table156[[#This Row],[test-allvar]])+LEN("-")</f>
        <v>5</v>
      </c>
      <c r="M29" t="str">
        <f>MID(Table156[[#This Row],[test-allvar]], Table156[[#This Row],[operation-idx]], LEN("pta"))</f>
        <v>pal</v>
      </c>
      <c r="N29" s="1" t="str">
        <f>LEFT(Table156[[#This Row],[test-allvar]], Table156[[#This Row],[operation-idx]]-LEN("-")-1) &amp; MID(Table156[[#This Row],[test-allvar]], Table156[[#This Row],[operation-idx]]+LEN(Table156[[#This Row],[operation]]), 9999)</f>
        <v>cfa-ll-share-na</v>
      </c>
      <c r="O29" s="1" t="str">
        <f>IFERROR( LEFT(Table156[[#This Row],[sut]], FIND("-", Table156[[#This Row],[sut]])-1), Table156[[#This Row],[sut]])</f>
        <v>cfa</v>
      </c>
      <c r="P29" s="1" t="str">
        <f>IF(Table156[[#This Row],[sut-platform]]="cfa", MID(Table156[[#This Row],[sut]], 5, 2), "~na~")</f>
        <v>ll</v>
      </c>
      <c r="Q29" s="1" t="str">
        <f>IF(Table156[[#This Row],[sut-platform]]="cfa", MID(Table156[[#This Row],[sut]], 8, 999), Table156[[#This Row],[sut-cfa-level]])</f>
        <v>share-na</v>
      </c>
      <c r="R29" s="1" t="str">
        <f>IF(Table156[[#This Row],[sut-platform]]="cfa", LEFT(Table156[[#This Row],[suffix-cfa-sharing-alloc]], FIND("-",Table156[[#This Row],[suffix-cfa-sharing-alloc]])-1), "~na~")</f>
        <v>share</v>
      </c>
      <c r="S29" s="1" t="str">
        <f>RIGHT(Table156[[#This Row],[test-allvar]],LEN(Table156[[#This Row],[test-allvar]])-FIND("@",SUBSTITUTE(Table156[[#This Row],[test-allvar]],"-","@",LEN(Table156[[#This Row],[test-allvar]])-LEN(SUBSTITUTE(Table156[[#This Row],[test-allvar]],"-",""))),1))</f>
        <v>na</v>
      </c>
      <c r="T29" s="1" t="str">
        <f>MID(Table156[[#This Row],[corpus]], LEN("corpus-")+1, 999)</f>
        <v>1-500-1.txt</v>
      </c>
      <c r="U29" s="1" t="str">
        <f>LEFT(Table156[[#This Row],[corpus-varsuffix]], FIND(".txt", Table156[[#This Row],[corpus-varsuffix]])-1)</f>
        <v>1-500-1</v>
      </c>
      <c r="V29" s="1">
        <f>INT(LEFT(Table156[[#This Row],[corpus-allvar]], FIND("-", Table156[[#This Row],[corpus-varsuffix]])-1))</f>
        <v>1</v>
      </c>
      <c r="W29" s="1" t="str">
        <f>MID(Table156[[#This Row],[corpus-allvar]], LEN(Table156[[#This Row],[corpus-nstrs]])+2, 999)</f>
        <v>500-1</v>
      </c>
      <c r="X29" s="1">
        <f>INT(LEFT(Table156[[#This Row],[corpus-varsuffix2]], FIND("-", Table156[[#This Row],[corpus-varsuffix2]])-1))</f>
        <v>500</v>
      </c>
      <c r="Y29" s="1">
        <f>INT(MID(Table156[[#This Row],[corpus-varsuffix2]], LEN(Table156[[#This Row],[corpus-meanlen]])+2, 999))</f>
        <v>1</v>
      </c>
      <c r="Z29" s="4">
        <f>Table156[[#This Row],[concatDoneActualCount]]/Table156[[#This Row],[execTimeActualSec]]</f>
        <v>0</v>
      </c>
      <c r="AA29" s="4" t="e">
        <f>CONVERT(Table156[[#This Row],[execTimeActualSec]]/Table156[[#This Row],[concatDoneActualCount]], "s", "ns")</f>
        <v>#DIV/0!</v>
      </c>
      <c r="AB29" s="1" t="str">
        <f>Table156[[#This Row],[corpus-meanlen]]&amp;"-"&amp;Table156[[#This Row],[heapGrowThreshold]]</f>
        <v>500-0.2</v>
      </c>
      <c r="AC29" s="1">
        <f>INDEX(importmem[seclast_req_mem], MATCH(Table156[[#This Row],[memrowid]], importmem[rowid], 0))</f>
        <v>4107966</v>
      </c>
      <c r="AD29" s="1" t="str">
        <f>IF(Table156[[#This Row],[corpusMeanLenChars]]=20, Table156[[#This Row],[mem-amt]], "")</f>
        <v/>
      </c>
      <c r="AE29" s="1" t="str">
        <f>IF(Table156[[#This Row],[corpusMeanLenChars]]=50, Table156[[#This Row],[mem-amt]], "")</f>
        <v/>
      </c>
      <c r="AF29" s="1" t="str">
        <f>IF(Table156[[#This Row],[corpusMeanLenChars]]=100, Table156[[#This Row],[mem-amt]], "")</f>
        <v/>
      </c>
      <c r="AG29" s="1" t="str">
        <f>IF(Table156[[#This Row],[corpusMeanLenChars]]=200, Table156[[#This Row],[mem-amt]], "")</f>
        <v/>
      </c>
      <c r="AH29" s="1">
        <f>IF(Table156[[#This Row],[corpusMeanLenChars]]=500, Table156[[#This Row],[mem-amt]], "")</f>
        <v>4107966</v>
      </c>
    </row>
    <row r="30" spans="1:34" x14ac:dyDescent="0.25">
      <c r="A30" s="1"/>
      <c r="B30" s="13" t="str">
        <f>Table156[[#This Row],[test]]&amp;"@"&amp;Table156[[#This Row],[corpus]]</f>
        <v>perfexp-cfa-pall-ll-share-na@corpus-1-500-1.txt</v>
      </c>
      <c r="C30" s="14" t="s">
        <v>63</v>
      </c>
      <c r="D30" s="14" t="s">
        <v>62</v>
      </c>
      <c r="E30" s="14">
        <v>0.3</v>
      </c>
      <c r="F30" s="14" t="s">
        <v>45</v>
      </c>
      <c r="G30" s="14">
        <v>1</v>
      </c>
      <c r="H30" s="14">
        <v>500</v>
      </c>
      <c r="I30" s="36">
        <v>116530000</v>
      </c>
      <c r="J30" s="37">
        <v>10.000829</v>
      </c>
      <c r="K30" s="35" t="str">
        <f>MID(Table156[[#This Row],[test]], LEN("perfexp-")+1, 9999)</f>
        <v>cfa-pall-ll-share-na</v>
      </c>
      <c r="L30" s="1">
        <f>FIND("-p", Table156[[#This Row],[test-allvar]])+LEN("-")</f>
        <v>5</v>
      </c>
      <c r="M30" s="1" t="str">
        <f>MID(Table156[[#This Row],[test-allvar]], Table156[[#This Row],[operation-idx]], LEN("pta"))</f>
        <v>pal</v>
      </c>
      <c r="N30" s="1" t="str">
        <f>LEFT(Table156[[#This Row],[test-allvar]], Table156[[#This Row],[operation-idx]]-LEN("-")-1) &amp; MID(Table156[[#This Row],[test-allvar]], Table156[[#This Row],[operation-idx]]+LEN(Table156[[#This Row],[operation]]), 9999)</f>
        <v>cfal-ll-share-na</v>
      </c>
      <c r="O30" s="1" t="str">
        <f>IFERROR( LEFT(Table156[[#This Row],[sut]], FIND("-", Table156[[#This Row],[sut]])-1), Table156[[#This Row],[sut]])</f>
        <v>cfal</v>
      </c>
      <c r="P30" s="1" t="str">
        <f>IF(Table156[[#This Row],[sut-platform]]="cfa", MID(Table156[[#This Row],[sut]], 5, 2), "~na~")</f>
        <v>~na~</v>
      </c>
      <c r="Q30" s="1" t="str">
        <f>IF(Table156[[#This Row],[sut-platform]]="cfa", MID(Table156[[#This Row],[sut]], 8, 999), Table156[[#This Row],[sut-cfa-level]])</f>
        <v>~na~</v>
      </c>
      <c r="R30" s="1" t="str">
        <f>IF(Table156[[#This Row],[sut-platform]]="cfa", LEFT(Table156[[#This Row],[suffix-cfa-sharing-alloc]], FIND("-",Table156[[#This Row],[suffix-cfa-sharing-alloc]])-1), "~na~")</f>
        <v>~na~</v>
      </c>
      <c r="S30" s="1" t="str">
        <f>RIGHT(Table156[[#This Row],[test-allvar]],LEN(Table156[[#This Row],[test-allvar]])-FIND("@",SUBSTITUTE(Table156[[#This Row],[test-allvar]],"-","@",LEN(Table156[[#This Row],[test-allvar]])-LEN(SUBSTITUTE(Table156[[#This Row],[test-allvar]],"-",""))),1))</f>
        <v>na</v>
      </c>
      <c r="T30" s="1" t="str">
        <f>MID(Table156[[#This Row],[corpus]], LEN("corpus-")+1, 999)</f>
        <v>1-500-1.txt</v>
      </c>
      <c r="U30" s="1" t="str">
        <f>LEFT(Table156[[#This Row],[corpus-varsuffix]], FIND(".txt", Table156[[#This Row],[corpus-varsuffix]])-1)</f>
        <v>1-500-1</v>
      </c>
      <c r="V30" s="1">
        <f>INT(LEFT(Table156[[#This Row],[corpus-allvar]], FIND("-", Table156[[#This Row],[corpus-varsuffix]])-1))</f>
        <v>1</v>
      </c>
      <c r="W30" s="1" t="str">
        <f>MID(Table156[[#This Row],[corpus-allvar]], LEN(Table156[[#This Row],[corpus-nstrs]])+2, 999)</f>
        <v>500-1</v>
      </c>
      <c r="X30" s="1">
        <f>INT(LEFT(Table156[[#This Row],[corpus-varsuffix2]], FIND("-", Table156[[#This Row],[corpus-varsuffix2]])-1))</f>
        <v>500</v>
      </c>
      <c r="Y30" s="1">
        <f>INT(MID(Table156[[#This Row],[corpus-varsuffix2]], LEN(Table156[[#This Row],[corpus-meanlen]])+2, 999))</f>
        <v>1</v>
      </c>
      <c r="Z30" s="4">
        <f>Table156[[#This Row],[concatDoneActualCount]]/Table156[[#This Row],[execTimeActualSec]]</f>
        <v>11652034.046377556</v>
      </c>
      <c r="AA30" s="4">
        <f>CONVERT(Table156[[#This Row],[execTimeActualSec]]/Table156[[#This Row],[concatDoneActualCount]], "s", "ns")</f>
        <v>85.821925684373113</v>
      </c>
      <c r="AB30" s="1" t="str">
        <f>Table156[[#This Row],[corpus-meanlen]]&amp;"-"&amp;Table156[[#This Row],[heapGrowThreshold]]</f>
        <v>500-0.3</v>
      </c>
      <c r="AC30" s="1">
        <f>INDEX(importmem[seclast_req_mem], MATCH(Table156[[#This Row],[memrowid]], importmem[rowid], 0))</f>
        <v>2059966</v>
      </c>
      <c r="AD30" s="1" t="str">
        <f>IF(Table156[[#This Row],[corpusMeanLenChars]]=20, Table156[[#This Row],[mem-amt]], "")</f>
        <v/>
      </c>
      <c r="AE30" s="1" t="str">
        <f>IF(Table156[[#This Row],[corpusMeanLenChars]]=50, Table156[[#This Row],[mem-amt]], "")</f>
        <v/>
      </c>
      <c r="AF30" s="1" t="str">
        <f>IF(Table156[[#This Row],[corpusMeanLenChars]]=100, Table156[[#This Row],[mem-amt]], "")</f>
        <v/>
      </c>
      <c r="AG30" s="1" t="str">
        <f>IF(Table156[[#This Row],[corpusMeanLenChars]]=200, Table156[[#This Row],[mem-amt]], "")</f>
        <v/>
      </c>
      <c r="AH30" s="1">
        <f>IF(Table156[[#This Row],[corpusMeanLenChars]]=500, Table156[[#This Row],[mem-amt]], "")</f>
        <v>2059966</v>
      </c>
    </row>
    <row r="31" spans="1:34" x14ac:dyDescent="0.25">
      <c r="A31" s="1" t="s">
        <v>70</v>
      </c>
      <c r="B31" s="1" t="str">
        <f>Table156[[#This Row],[test]]&amp;"@"&amp;Table156[[#This Row],[corpus]]</f>
        <v>perfexp-cfa-pal-ll-share-na@corpus-1-500-1.txt</v>
      </c>
      <c r="C31" s="5" t="s">
        <v>66</v>
      </c>
      <c r="D31" s="5" t="s">
        <v>62</v>
      </c>
      <c r="E31" s="5">
        <v>0.5</v>
      </c>
      <c r="F31" s="5" t="s">
        <v>45</v>
      </c>
      <c r="G31" s="5">
        <v>1</v>
      </c>
      <c r="H31" s="5">
        <v>500</v>
      </c>
      <c r="I31" s="42">
        <v>112530000</v>
      </c>
      <c r="J31" s="33">
        <v>10.0001</v>
      </c>
      <c r="K31" s="40" t="str">
        <f>MID(Table156[[#This Row],[test]], LEN("perfexp-")+1, 9999)</f>
        <v>cfa-pal-ll-share-na</v>
      </c>
      <c r="L31">
        <f>FIND("-p", Table156[[#This Row],[test-allvar]])+LEN("-")</f>
        <v>5</v>
      </c>
      <c r="M31" t="str">
        <f>MID(Table156[[#This Row],[test-allvar]], Table156[[#This Row],[operation-idx]], LEN("pta"))</f>
        <v>pal</v>
      </c>
      <c r="N31" s="1" t="str">
        <f>LEFT(Table156[[#This Row],[test-allvar]], Table156[[#This Row],[operation-idx]]-LEN("-")-1) &amp; MID(Table156[[#This Row],[test-allvar]], Table156[[#This Row],[operation-idx]]+LEN(Table156[[#This Row],[operation]]), 9999)</f>
        <v>cfa-ll-share-na</v>
      </c>
      <c r="O31" s="1" t="str">
        <f>IFERROR( LEFT(Table156[[#This Row],[sut]], FIND("-", Table156[[#This Row],[sut]])-1), Table156[[#This Row],[sut]])</f>
        <v>cfa</v>
      </c>
      <c r="P31" s="1" t="str">
        <f>IF(Table156[[#This Row],[sut-platform]]="cfa", MID(Table156[[#This Row],[sut]], 5, 2), "~na~")</f>
        <v>ll</v>
      </c>
      <c r="Q31" s="1" t="str">
        <f>IF(Table156[[#This Row],[sut-platform]]="cfa", MID(Table156[[#This Row],[sut]], 8, 999), Table156[[#This Row],[sut-cfa-level]])</f>
        <v>share-na</v>
      </c>
      <c r="R31" s="1" t="str">
        <f>IF(Table156[[#This Row],[sut-platform]]="cfa", LEFT(Table156[[#This Row],[suffix-cfa-sharing-alloc]], FIND("-",Table156[[#This Row],[suffix-cfa-sharing-alloc]])-1), "~na~")</f>
        <v>share</v>
      </c>
      <c r="S31" s="1" t="str">
        <f>RIGHT(Table156[[#This Row],[test-allvar]],LEN(Table156[[#This Row],[test-allvar]])-FIND("@",SUBSTITUTE(Table156[[#This Row],[test-allvar]],"-","@",LEN(Table156[[#This Row],[test-allvar]])-LEN(SUBSTITUTE(Table156[[#This Row],[test-allvar]],"-",""))),1))</f>
        <v>na</v>
      </c>
      <c r="T31" s="1" t="str">
        <f>MID(Table156[[#This Row],[corpus]], LEN("corpus-")+1, 999)</f>
        <v>1-500-1.txt</v>
      </c>
      <c r="U31" s="1" t="str">
        <f>LEFT(Table156[[#This Row],[corpus-varsuffix]], FIND(".txt", Table156[[#This Row],[corpus-varsuffix]])-1)</f>
        <v>1-500-1</v>
      </c>
      <c r="V31" s="1">
        <f>INT(LEFT(Table156[[#This Row],[corpus-allvar]], FIND("-", Table156[[#This Row],[corpus-varsuffix]])-1))</f>
        <v>1</v>
      </c>
      <c r="W31" s="1" t="str">
        <f>MID(Table156[[#This Row],[corpus-allvar]], LEN(Table156[[#This Row],[corpus-nstrs]])+2, 999)</f>
        <v>500-1</v>
      </c>
      <c r="X31" s="1">
        <f>INT(LEFT(Table156[[#This Row],[corpus-varsuffix2]], FIND("-", Table156[[#This Row],[corpus-varsuffix2]])-1))</f>
        <v>500</v>
      </c>
      <c r="Y31" s="1">
        <f>INT(MID(Table156[[#This Row],[corpus-varsuffix2]], LEN(Table156[[#This Row],[corpus-meanlen]])+2, 999))</f>
        <v>1</v>
      </c>
      <c r="Z31" s="4">
        <f>Table156[[#This Row],[concatDoneActualCount]]/Table156[[#This Row],[execTimeActualSec]]</f>
        <v>11252887.47112529</v>
      </c>
      <c r="AA31" s="4">
        <f>CONVERT(Table156[[#This Row],[execTimeActualSec]]/Table156[[#This Row],[concatDoneActualCount]], "s", "ns")</f>
        <v>88.866080156402731</v>
      </c>
      <c r="AB31" s="1" t="str">
        <f>Table156[[#This Row],[corpus-meanlen]]&amp;"-"&amp;Table156[[#This Row],[heapGrowThreshold]]</f>
        <v>500-0.5</v>
      </c>
      <c r="AC31" s="1">
        <f>INDEX(importmem[seclast_req_mem], MATCH(Table156[[#This Row],[memrowid]], importmem[rowid], 0))</f>
        <v>1035966</v>
      </c>
      <c r="AD31" s="1" t="str">
        <f>IF(Table156[[#This Row],[corpusMeanLenChars]]=20, Table156[[#This Row],[mem-amt]], "")</f>
        <v/>
      </c>
      <c r="AE31" s="1" t="str">
        <f>IF(Table156[[#This Row],[corpusMeanLenChars]]=50, Table156[[#This Row],[mem-amt]], "")</f>
        <v/>
      </c>
      <c r="AF31" s="1" t="str">
        <f>IF(Table156[[#This Row],[corpusMeanLenChars]]=100, Table156[[#This Row],[mem-amt]], "")</f>
        <v/>
      </c>
      <c r="AG31" s="1" t="str">
        <f>IF(Table156[[#This Row],[corpusMeanLenChars]]=200, Table156[[#This Row],[mem-amt]], "")</f>
        <v/>
      </c>
      <c r="AH31" s="1">
        <f>IF(Table156[[#This Row],[corpusMeanLenChars]]=500, Table156[[#This Row],[mem-amt]], "")</f>
        <v>1035966</v>
      </c>
    </row>
    <row r="32" spans="1:34" x14ac:dyDescent="0.25">
      <c r="A32" s="1" t="s">
        <v>70</v>
      </c>
      <c r="B32" s="1" t="str">
        <f>Table156[[#This Row],[test]]&amp;"@"&amp;Table156[[#This Row],[corpus]]</f>
        <v>perfexp-cfa-pal-ll-share-na@corpus-1-500-1.txt</v>
      </c>
      <c r="C32" s="14" t="s">
        <v>66</v>
      </c>
      <c r="D32" s="38" t="s">
        <v>62</v>
      </c>
      <c r="E32" s="38">
        <v>0.99</v>
      </c>
      <c r="F32" s="14" t="s">
        <v>45</v>
      </c>
      <c r="G32" s="14">
        <v>1</v>
      </c>
      <c r="H32" s="14">
        <v>500</v>
      </c>
      <c r="I32" s="43">
        <v>83270000</v>
      </c>
      <c r="J32" s="37">
        <v>10.000819</v>
      </c>
      <c r="K32" s="40" t="str">
        <f>MID(Table156[[#This Row],[test]], LEN("perfexp-")+1, 9999)</f>
        <v>cfa-pal-ll-share-na</v>
      </c>
      <c r="L32">
        <f>FIND("-p", Table156[[#This Row],[test-allvar]])+LEN("-")</f>
        <v>5</v>
      </c>
      <c r="M32" t="str">
        <f>MID(Table156[[#This Row],[test-allvar]], Table156[[#This Row],[operation-idx]], LEN("pta"))</f>
        <v>pal</v>
      </c>
      <c r="N32" s="1" t="str">
        <f>LEFT(Table156[[#This Row],[test-allvar]], Table156[[#This Row],[operation-idx]]-LEN("-")-1) &amp; MID(Table156[[#This Row],[test-allvar]], Table156[[#This Row],[operation-idx]]+LEN(Table156[[#This Row],[operation]]), 9999)</f>
        <v>cfa-ll-share-na</v>
      </c>
      <c r="O32" s="1" t="str">
        <f>IFERROR( LEFT(Table156[[#This Row],[sut]], FIND("-", Table156[[#This Row],[sut]])-1), Table156[[#This Row],[sut]])</f>
        <v>cfa</v>
      </c>
      <c r="P32" s="1" t="str">
        <f>IF(Table156[[#This Row],[sut-platform]]="cfa", MID(Table156[[#This Row],[sut]], 5, 2), "~na~")</f>
        <v>ll</v>
      </c>
      <c r="Q32" s="1" t="str">
        <f>IF(Table156[[#This Row],[sut-platform]]="cfa", MID(Table156[[#This Row],[sut]], 8, 999), Table156[[#This Row],[sut-cfa-level]])</f>
        <v>share-na</v>
      </c>
      <c r="R32" s="1" t="str">
        <f>IF(Table156[[#This Row],[sut-platform]]="cfa", LEFT(Table156[[#This Row],[suffix-cfa-sharing-alloc]], FIND("-",Table156[[#This Row],[suffix-cfa-sharing-alloc]])-1), "~na~")</f>
        <v>share</v>
      </c>
      <c r="S32" s="1" t="str">
        <f>RIGHT(Table156[[#This Row],[test-allvar]],LEN(Table156[[#This Row],[test-allvar]])-FIND("@",SUBSTITUTE(Table156[[#This Row],[test-allvar]],"-","@",LEN(Table156[[#This Row],[test-allvar]])-LEN(SUBSTITUTE(Table156[[#This Row],[test-allvar]],"-",""))),1))</f>
        <v>na</v>
      </c>
      <c r="T32" s="1" t="str">
        <f>MID(Table156[[#This Row],[corpus]], LEN("corpus-")+1, 999)</f>
        <v>1-500-1.txt</v>
      </c>
      <c r="U32" s="1" t="str">
        <f>LEFT(Table156[[#This Row],[corpus-varsuffix]], FIND(".txt", Table156[[#This Row],[corpus-varsuffix]])-1)</f>
        <v>1-500-1</v>
      </c>
      <c r="V32" s="1">
        <f>INT(LEFT(Table156[[#This Row],[corpus-allvar]], FIND("-", Table156[[#This Row],[corpus-varsuffix]])-1))</f>
        <v>1</v>
      </c>
      <c r="W32" s="1" t="str">
        <f>MID(Table156[[#This Row],[corpus-allvar]], LEN(Table156[[#This Row],[corpus-nstrs]])+2, 999)</f>
        <v>500-1</v>
      </c>
      <c r="X32" s="1">
        <f>INT(LEFT(Table156[[#This Row],[corpus-varsuffix2]], FIND("-", Table156[[#This Row],[corpus-varsuffix2]])-1))</f>
        <v>500</v>
      </c>
      <c r="Y32" s="1">
        <f>INT(MID(Table156[[#This Row],[corpus-varsuffix2]], LEN(Table156[[#This Row],[corpus-meanlen]])+2, 999))</f>
        <v>1</v>
      </c>
      <c r="Z32" s="4">
        <f>Table156[[#This Row],[concatDoneActualCount]]/Table156[[#This Row],[execTimeActualSec]]</f>
        <v>8326318.0745496945</v>
      </c>
      <c r="AA32" s="4">
        <f>CONVERT(Table156[[#This Row],[execTimeActualSec]]/Table156[[#This Row],[concatDoneActualCount]], "s", "ns")</f>
        <v>120.10110483967817</v>
      </c>
      <c r="AB32" s="1" t="str">
        <f>Table156[[#This Row],[corpus-meanlen]]&amp;"-"&amp;Table156[[#This Row],[heapGrowThreshold]]</f>
        <v>500-0.99</v>
      </c>
      <c r="AC32" s="1">
        <f>INDEX(importmem[seclast_req_mem], MATCH(Table156[[#This Row],[memrowid]], importmem[rowid], 0))</f>
        <v>523966</v>
      </c>
      <c r="AD32" s="1" t="str">
        <f>IF(Table156[[#This Row],[corpusMeanLenChars]]=20, Table156[[#This Row],[mem-amt]], "")</f>
        <v/>
      </c>
      <c r="AE32" s="1" t="str">
        <f>IF(Table156[[#This Row],[corpusMeanLenChars]]=50, Table156[[#This Row],[mem-amt]], "")</f>
        <v/>
      </c>
      <c r="AF32" s="1" t="str">
        <f>IF(Table156[[#This Row],[corpusMeanLenChars]]=100, Table156[[#This Row],[mem-amt]], "")</f>
        <v/>
      </c>
      <c r="AG32" s="1" t="str">
        <f>IF(Table156[[#This Row],[corpusMeanLenChars]]=200, Table156[[#This Row],[mem-amt]], "")</f>
        <v/>
      </c>
      <c r="AH32" s="1">
        <f>IF(Table156[[#This Row],[corpusMeanLenChars]]=500, Table156[[#This Row],[mem-amt]], "")</f>
        <v>523966</v>
      </c>
    </row>
    <row r="33" spans="1:34" x14ac:dyDescent="0.25">
      <c r="A33" s="13"/>
      <c r="B33" s="1"/>
      <c r="C33" s="14"/>
      <c r="D33" s="14"/>
      <c r="E33" s="14"/>
      <c r="F33" s="14"/>
      <c r="G33" s="14"/>
      <c r="H33" s="14"/>
      <c r="I33" s="36"/>
      <c r="J33" s="37"/>
      <c r="K33" s="35" t="str">
        <f>MID(Table156[[#This Row],[test]], LEN("perfexp-")+1, 9999)</f>
        <v/>
      </c>
      <c r="L33" s="13" t="e">
        <f>FIND("-p", Table156[[#This Row],[test-allvar]])+LEN("-")</f>
        <v>#VALUE!</v>
      </c>
      <c r="M33" s="13" t="e">
        <f>MID(Table156[[#This Row],[test-allvar]], Table156[[#This Row],[operation-idx]], LEN("pta"))</f>
        <v>#VALUE!</v>
      </c>
      <c r="N33" s="13" t="e">
        <f>LEFT(Table156[[#This Row],[test-allvar]], Table156[[#This Row],[operation-idx]]-LEN("-")-1) &amp; MID(Table156[[#This Row],[test-allvar]], Table156[[#This Row],[operation-idx]]+LEN(Table156[[#This Row],[operation]]), 9999)</f>
        <v>#VALUE!</v>
      </c>
      <c r="O33" s="13" t="e">
        <f>IFERROR( LEFT(Table156[[#This Row],[sut]], FIND("-", Table156[[#This Row],[sut]])-1), Table156[[#This Row],[sut]])</f>
        <v>#VALUE!</v>
      </c>
      <c r="P33" s="13" t="e">
        <f>IF(Table156[[#This Row],[sut-platform]]="cfa", MID(Table156[[#This Row],[sut]], 5, 2), "~na~")</f>
        <v>#VALUE!</v>
      </c>
      <c r="Q33" s="13" t="e">
        <f>IF(Table156[[#This Row],[sut-platform]]="cfa", MID(Table156[[#This Row],[sut]], 8, 999), Table156[[#This Row],[sut-cfa-level]])</f>
        <v>#VALUE!</v>
      </c>
      <c r="R33" s="13" t="e">
        <f>IF(Table156[[#This Row],[sut-platform]]="cfa", LEFT(Table156[[#This Row],[suffix-cfa-sharing-alloc]], FIND("-",Table156[[#This Row],[suffix-cfa-sharing-alloc]])-1), "~na~")</f>
        <v>#VALUE!</v>
      </c>
      <c r="S33" s="13" t="e">
        <f>RIGHT(Table156[[#This Row],[test-allvar]],LEN(Table156[[#This Row],[test-allvar]])-FIND("@",SUBSTITUTE(Table156[[#This Row],[test-allvar]],"-","@",LEN(Table156[[#This Row],[test-allvar]])-LEN(SUBSTITUTE(Table156[[#This Row],[test-allvar]],"-",""))),1))</f>
        <v>#VALUE!</v>
      </c>
      <c r="T33" s="13" t="str">
        <f>MID(Table156[[#This Row],[corpus]], LEN("corpus-")+1, 999)</f>
        <v/>
      </c>
      <c r="U33" s="13" t="e">
        <f>LEFT(Table156[[#This Row],[corpus-varsuffix]], FIND(".txt", Table156[[#This Row],[corpus-varsuffix]])-1)</f>
        <v>#VALUE!</v>
      </c>
      <c r="V33" s="13" t="e">
        <f>INT(LEFT(Table156[[#This Row],[corpus-allvar]], FIND("-", Table156[[#This Row],[corpus-varsuffix]])-1))</f>
        <v>#VALUE!</v>
      </c>
      <c r="W33" s="13" t="e">
        <f>MID(Table156[[#This Row],[corpus-allvar]], LEN(Table156[[#This Row],[corpus-nstrs]])+2, 999)</f>
        <v>#VALUE!</v>
      </c>
      <c r="X33" s="13" t="e">
        <f>INT(LEFT(Table156[[#This Row],[corpus-varsuffix2]], FIND("-", Table156[[#This Row],[corpus-varsuffix2]])-1))</f>
        <v>#VALUE!</v>
      </c>
      <c r="Y33" s="13" t="e">
        <f>INT(MID(Table156[[#This Row],[corpus-varsuffix2]], LEN(Table156[[#This Row],[corpus-meanlen]])+2, 999))</f>
        <v>#VALUE!</v>
      </c>
      <c r="Z33" s="25" t="e">
        <f>Table156[[#This Row],[concatDoneActualCount]]/Table156[[#This Row],[execTimeActualSec]]</f>
        <v>#DIV/0!</v>
      </c>
      <c r="AA33" s="25" t="e">
        <f>CONVERT(Table156[[#This Row],[execTimeActualSec]]/Table156[[#This Row],[concatDoneActualCount]], "s", "ns")</f>
        <v>#DIV/0!</v>
      </c>
      <c r="AB33" s="13" t="e">
        <f>Table156[[#This Row],[corpus-meanlen]]&amp;"-"&amp;Table156[[#This Row],[heapGrowThreshold]]</f>
        <v>#VALUE!</v>
      </c>
      <c r="AC33" s="13" t="e">
        <f>INDEX(importmem[seclast_req_mem], MATCH(Table156[[#This Row],[memrowid]], importmem[rowid], 0))</f>
        <v>#VALUE!</v>
      </c>
      <c r="AD33" s="13" t="str">
        <f>IF(Table156[[#This Row],[corpusMeanLenChars]]=20, Table156[[#This Row],[mem-amt]], "")</f>
        <v/>
      </c>
      <c r="AE33" s="13" t="str">
        <f>IF(Table156[[#This Row],[corpusMeanLenChars]]=50, Table156[[#This Row],[mem-amt]], "")</f>
        <v/>
      </c>
      <c r="AF33" s="13" t="str">
        <f>IF(Table156[[#This Row],[corpusMeanLenChars]]=100, Table156[[#This Row],[mem-amt]], "")</f>
        <v/>
      </c>
      <c r="AG33" s="13" t="str">
        <f>IF(Table156[[#This Row],[corpusMeanLenChars]]=200, Table156[[#This Row],[mem-amt]], "")</f>
        <v/>
      </c>
      <c r="AH33" s="13" t="str">
        <f>IF(Table156[[#This Row],[corpusMeanLenChars]]=500, Table156[[#This Row],[mem-amt]], "")</f>
        <v/>
      </c>
    </row>
    <row r="37" spans="1:34" x14ac:dyDescent="0.25">
      <c r="AA37" t="e">
        <f>Table156[op-duration],2:7</f>
        <v>#VALUE!</v>
      </c>
    </row>
  </sheetData>
  <pageMargins left="0.7" right="0.7" top="0.75" bottom="0.75" header="0.3" footer="0.3"/>
  <pageSetup paperSize="9" orientation="portrait" horizontalDpi="0" verticalDpi="0" r:id="rId1"/>
  <drawing r:id="rId2"/>
  <legacy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7D6F5-777A-42E8-9B48-BCF35F15E982}">
  <dimension ref="A1:F57"/>
  <sheetViews>
    <sheetView topLeftCell="A37" workbookViewId="0">
      <selection activeCell="A57" sqref="A57:E57"/>
    </sheetView>
  </sheetViews>
  <sheetFormatPr defaultRowHeight="15" x14ac:dyDescent="0.25"/>
  <cols>
    <col min="1" max="1" width="11.85546875" customWidth="1"/>
    <col min="2" max="2" width="12.28515625" customWidth="1"/>
    <col min="3" max="3" width="21.140625" customWidth="1"/>
    <col min="4" max="4" width="19.42578125" customWidth="1"/>
    <col min="5" max="5" width="18.7109375" customWidth="1"/>
  </cols>
  <sheetData>
    <row r="1" spans="1:6" x14ac:dyDescent="0.25">
      <c r="A1" t="s">
        <v>72</v>
      </c>
      <c r="B1" t="s">
        <v>73</v>
      </c>
      <c r="C1" t="s">
        <v>74</v>
      </c>
      <c r="D1" t="s">
        <v>75</v>
      </c>
      <c r="E1" t="s">
        <v>76</v>
      </c>
      <c r="F1" t="s">
        <v>77</v>
      </c>
    </row>
    <row r="2" spans="1:6" x14ac:dyDescent="0.25">
      <c r="A2">
        <v>10</v>
      </c>
      <c r="B2">
        <v>0.1</v>
      </c>
      <c r="C2">
        <v>1001</v>
      </c>
      <c r="D2">
        <v>999</v>
      </c>
      <c r="E2">
        <v>139966</v>
      </c>
      <c r="F2" t="str">
        <f>importmem[[#This Row],[corpuslen]]&amp;"-"&amp;importmem[[#This Row],[expansion]]</f>
        <v>10-0.1</v>
      </c>
    </row>
    <row r="3" spans="1:6" x14ac:dyDescent="0.25">
      <c r="A3">
        <v>200</v>
      </c>
      <c r="B3">
        <v>0.02</v>
      </c>
      <c r="C3">
        <v>1000</v>
      </c>
      <c r="D3">
        <v>985</v>
      </c>
      <c r="E3">
        <v>16395966</v>
      </c>
      <c r="F3" t="str">
        <f>importmem[[#This Row],[corpuslen]]&amp;"-"&amp;importmem[[#This Row],[expansion]]</f>
        <v>200-0.02</v>
      </c>
    </row>
    <row r="4" spans="1:6" x14ac:dyDescent="0.25">
      <c r="A4">
        <v>500</v>
      </c>
      <c r="B4">
        <v>0.05</v>
      </c>
      <c r="C4">
        <v>1002</v>
      </c>
      <c r="D4">
        <v>988</v>
      </c>
      <c r="E4">
        <v>16395966</v>
      </c>
      <c r="F4" t="str">
        <f>importmem[[#This Row],[corpuslen]]&amp;"-"&amp;importmem[[#This Row],[expansion]]</f>
        <v>500-0.05</v>
      </c>
    </row>
    <row r="5" spans="1:6" x14ac:dyDescent="0.25">
      <c r="A5">
        <v>50</v>
      </c>
      <c r="B5">
        <v>0.9</v>
      </c>
      <c r="C5">
        <v>1001</v>
      </c>
      <c r="D5">
        <v>1000</v>
      </c>
      <c r="E5">
        <v>75966</v>
      </c>
      <c r="F5" t="str">
        <f>importmem[[#This Row],[corpuslen]]&amp;"-"&amp;importmem[[#This Row],[expansion]]</f>
        <v>50-0.9</v>
      </c>
    </row>
    <row r="6" spans="1:6" x14ac:dyDescent="0.25">
      <c r="A6">
        <v>100</v>
      </c>
      <c r="B6">
        <v>0.5</v>
      </c>
      <c r="C6">
        <v>1003</v>
      </c>
      <c r="D6">
        <v>1001</v>
      </c>
      <c r="E6">
        <v>267966</v>
      </c>
      <c r="F6" t="str">
        <f>importmem[[#This Row],[corpuslen]]&amp;"-"&amp;importmem[[#This Row],[expansion]]</f>
        <v>100-0.5</v>
      </c>
    </row>
    <row r="7" spans="1:6" x14ac:dyDescent="0.25">
      <c r="A7">
        <v>500</v>
      </c>
      <c r="B7">
        <v>0.9</v>
      </c>
      <c r="C7">
        <v>1002</v>
      </c>
      <c r="D7">
        <v>999</v>
      </c>
      <c r="E7">
        <v>1035966</v>
      </c>
      <c r="F7" t="str">
        <f>importmem[[#This Row],[corpuslen]]&amp;"-"&amp;importmem[[#This Row],[expansion]]</f>
        <v>500-0.9</v>
      </c>
    </row>
    <row r="8" spans="1:6" x14ac:dyDescent="0.25">
      <c r="A8">
        <v>50</v>
      </c>
      <c r="B8">
        <v>0.05</v>
      </c>
      <c r="C8">
        <v>1001</v>
      </c>
      <c r="D8">
        <v>997</v>
      </c>
      <c r="E8">
        <v>1035966</v>
      </c>
      <c r="F8" t="str">
        <f>importmem[[#This Row],[corpuslen]]&amp;"-"&amp;importmem[[#This Row],[expansion]]</f>
        <v>50-0.05</v>
      </c>
    </row>
    <row r="9" spans="1:6" x14ac:dyDescent="0.25">
      <c r="A9">
        <v>1</v>
      </c>
      <c r="B9">
        <v>0.2</v>
      </c>
      <c r="C9">
        <v>1000</v>
      </c>
      <c r="D9">
        <v>999</v>
      </c>
      <c r="E9">
        <v>19966</v>
      </c>
      <c r="F9" t="str">
        <f>importmem[[#This Row],[corpuslen]]&amp;"-"&amp;importmem[[#This Row],[expansion]]</f>
        <v>1-0.2</v>
      </c>
    </row>
    <row r="10" spans="1:6" x14ac:dyDescent="0.25">
      <c r="A10">
        <v>100</v>
      </c>
      <c r="B10">
        <v>0.1</v>
      </c>
      <c r="C10">
        <v>1001</v>
      </c>
      <c r="D10">
        <v>998</v>
      </c>
      <c r="E10">
        <v>1035966</v>
      </c>
      <c r="F10" t="str">
        <f>importmem[[#This Row],[corpuslen]]&amp;"-"&amp;importmem[[#This Row],[expansion]]</f>
        <v>100-0.1</v>
      </c>
    </row>
    <row r="11" spans="1:6" x14ac:dyDescent="0.25">
      <c r="A11">
        <v>50</v>
      </c>
      <c r="B11">
        <v>0.5</v>
      </c>
      <c r="C11">
        <v>1000</v>
      </c>
      <c r="D11">
        <v>999</v>
      </c>
      <c r="E11">
        <v>139966</v>
      </c>
      <c r="F11" t="str">
        <f>importmem[[#This Row],[corpuslen]]&amp;"-"&amp;importmem[[#This Row],[expansion]]</f>
        <v>50-0.5</v>
      </c>
    </row>
    <row r="12" spans="1:6" x14ac:dyDescent="0.25">
      <c r="A12">
        <v>5</v>
      </c>
      <c r="B12">
        <v>0.9</v>
      </c>
      <c r="C12">
        <v>1000</v>
      </c>
      <c r="D12">
        <v>1000</v>
      </c>
      <c r="E12">
        <v>19966</v>
      </c>
      <c r="F12" t="str">
        <f>importmem[[#This Row],[corpuslen]]&amp;"-"&amp;importmem[[#This Row],[expansion]]</f>
        <v>5-0.9</v>
      </c>
    </row>
    <row r="13" spans="1:6" x14ac:dyDescent="0.25">
      <c r="A13">
        <v>2</v>
      </c>
      <c r="B13">
        <v>0.05</v>
      </c>
      <c r="C13">
        <v>1001</v>
      </c>
      <c r="D13">
        <v>998</v>
      </c>
      <c r="E13">
        <v>75966</v>
      </c>
      <c r="F13" t="str">
        <f>importmem[[#This Row],[corpuslen]]&amp;"-"&amp;importmem[[#This Row],[expansion]]</f>
        <v>2-0.05</v>
      </c>
    </row>
    <row r="14" spans="1:6" x14ac:dyDescent="0.25">
      <c r="A14">
        <v>2</v>
      </c>
      <c r="B14">
        <v>0.9</v>
      </c>
      <c r="C14">
        <v>1001</v>
      </c>
      <c r="D14">
        <v>1000</v>
      </c>
      <c r="E14">
        <v>15966</v>
      </c>
      <c r="F14" t="str">
        <f>importmem[[#This Row],[corpuslen]]&amp;"-"&amp;importmem[[#This Row],[expansion]]</f>
        <v>2-0.9</v>
      </c>
    </row>
    <row r="15" spans="1:6" x14ac:dyDescent="0.25">
      <c r="A15">
        <v>50</v>
      </c>
      <c r="B15">
        <v>0.2</v>
      </c>
      <c r="C15">
        <v>1001</v>
      </c>
      <c r="D15">
        <v>999</v>
      </c>
      <c r="E15">
        <v>267966</v>
      </c>
      <c r="F15" t="str">
        <f>importmem[[#This Row],[corpuslen]]&amp;"-"&amp;importmem[[#This Row],[expansion]]</f>
        <v>50-0.2</v>
      </c>
    </row>
    <row r="16" spans="1:6" x14ac:dyDescent="0.25">
      <c r="A16">
        <v>2</v>
      </c>
      <c r="B16">
        <v>0.5</v>
      </c>
      <c r="C16">
        <v>1001</v>
      </c>
      <c r="D16">
        <v>1000</v>
      </c>
      <c r="E16">
        <v>15966</v>
      </c>
      <c r="F16" t="str">
        <f>importmem[[#This Row],[corpuslen]]&amp;"-"&amp;importmem[[#This Row],[expansion]]</f>
        <v>2-0.5</v>
      </c>
    </row>
    <row r="17" spans="1:6" x14ac:dyDescent="0.25">
      <c r="A17">
        <v>2</v>
      </c>
      <c r="B17">
        <v>0.02</v>
      </c>
      <c r="C17">
        <v>1001</v>
      </c>
      <c r="D17">
        <v>996</v>
      </c>
      <c r="E17">
        <v>139966</v>
      </c>
      <c r="F17" t="str">
        <f>importmem[[#This Row],[corpuslen]]&amp;"-"&amp;importmem[[#This Row],[expansion]]</f>
        <v>2-0.02</v>
      </c>
    </row>
    <row r="18" spans="1:6" x14ac:dyDescent="0.25">
      <c r="A18">
        <v>200</v>
      </c>
      <c r="B18">
        <v>0.5</v>
      </c>
      <c r="C18">
        <v>1001</v>
      </c>
      <c r="D18">
        <v>998</v>
      </c>
      <c r="E18">
        <v>523966</v>
      </c>
      <c r="F18" t="str">
        <f>importmem[[#This Row],[corpuslen]]&amp;"-"&amp;importmem[[#This Row],[expansion]]</f>
        <v>200-0.5</v>
      </c>
    </row>
    <row r="19" spans="1:6" x14ac:dyDescent="0.25">
      <c r="A19">
        <v>500</v>
      </c>
      <c r="B19">
        <v>0.02</v>
      </c>
      <c r="C19">
        <v>1002</v>
      </c>
      <c r="D19">
        <v>978</v>
      </c>
      <c r="E19">
        <v>32779966</v>
      </c>
      <c r="F19" t="str">
        <f>importmem[[#This Row],[corpuslen]]&amp;"-"&amp;importmem[[#This Row],[expansion]]</f>
        <v>500-0.02</v>
      </c>
    </row>
    <row r="20" spans="1:6" x14ac:dyDescent="0.25">
      <c r="A20">
        <v>10</v>
      </c>
      <c r="B20">
        <v>0.02</v>
      </c>
      <c r="C20">
        <v>1000</v>
      </c>
      <c r="D20">
        <v>996</v>
      </c>
      <c r="E20">
        <v>523966</v>
      </c>
      <c r="F20" t="str">
        <f>importmem[[#This Row],[corpuslen]]&amp;"-"&amp;importmem[[#This Row],[expansion]]</f>
        <v>10-0.02</v>
      </c>
    </row>
    <row r="21" spans="1:6" x14ac:dyDescent="0.25">
      <c r="A21">
        <v>1</v>
      </c>
      <c r="B21">
        <v>0.5</v>
      </c>
      <c r="C21">
        <v>1005</v>
      </c>
      <c r="D21">
        <v>1005</v>
      </c>
      <c r="E21">
        <v>13966</v>
      </c>
      <c r="F21" t="str">
        <f>importmem[[#This Row],[corpuslen]]&amp;"-"&amp;importmem[[#This Row],[expansion]]</f>
        <v>1-0.5</v>
      </c>
    </row>
    <row r="22" spans="1:6" x14ac:dyDescent="0.25">
      <c r="A22">
        <v>20</v>
      </c>
      <c r="B22">
        <v>0.1</v>
      </c>
      <c r="C22">
        <v>1005</v>
      </c>
      <c r="D22">
        <v>1003</v>
      </c>
      <c r="E22">
        <v>267966</v>
      </c>
      <c r="F22" t="str">
        <f>importmem[[#This Row],[corpuslen]]&amp;"-"&amp;importmem[[#This Row],[expansion]]</f>
        <v>20-0.1</v>
      </c>
    </row>
    <row r="23" spans="1:6" x14ac:dyDescent="0.25">
      <c r="A23">
        <v>10</v>
      </c>
      <c r="B23">
        <v>0.2</v>
      </c>
      <c r="C23">
        <v>1002</v>
      </c>
      <c r="D23">
        <v>1001</v>
      </c>
      <c r="E23">
        <v>75966</v>
      </c>
      <c r="F23" t="str">
        <f>importmem[[#This Row],[corpuslen]]&amp;"-"&amp;importmem[[#This Row],[expansion]]</f>
        <v>10-0.2</v>
      </c>
    </row>
    <row r="24" spans="1:6" x14ac:dyDescent="0.25">
      <c r="A24">
        <v>20</v>
      </c>
      <c r="B24">
        <v>0.05</v>
      </c>
      <c r="C24">
        <v>1006</v>
      </c>
      <c r="D24">
        <v>1003</v>
      </c>
      <c r="E24">
        <v>523966</v>
      </c>
      <c r="F24" t="str">
        <f>importmem[[#This Row],[corpuslen]]&amp;"-"&amp;importmem[[#This Row],[expansion]]</f>
        <v>20-0.05</v>
      </c>
    </row>
    <row r="25" spans="1:6" x14ac:dyDescent="0.25">
      <c r="A25">
        <v>100</v>
      </c>
      <c r="B25">
        <v>0.2</v>
      </c>
      <c r="C25">
        <v>1001</v>
      </c>
      <c r="D25">
        <v>998</v>
      </c>
      <c r="E25">
        <v>523966</v>
      </c>
      <c r="F25" t="str">
        <f>importmem[[#This Row],[corpuslen]]&amp;"-"&amp;importmem[[#This Row],[expansion]]</f>
        <v>100-0.2</v>
      </c>
    </row>
    <row r="26" spans="1:6" x14ac:dyDescent="0.25">
      <c r="A26">
        <v>1</v>
      </c>
      <c r="B26">
        <v>0.9</v>
      </c>
      <c r="C26">
        <v>1001</v>
      </c>
      <c r="D26">
        <v>1001</v>
      </c>
      <c r="E26">
        <v>13966</v>
      </c>
      <c r="F26" t="str">
        <f>importmem[[#This Row],[corpuslen]]&amp;"-"&amp;importmem[[#This Row],[expansion]]</f>
        <v>1-0.9</v>
      </c>
    </row>
    <row r="27" spans="1:6" x14ac:dyDescent="0.25">
      <c r="A27">
        <v>20</v>
      </c>
      <c r="B27">
        <v>0.02</v>
      </c>
      <c r="C27">
        <v>1001</v>
      </c>
      <c r="D27">
        <v>996</v>
      </c>
      <c r="E27">
        <v>1035966</v>
      </c>
      <c r="F27" t="str">
        <f>importmem[[#This Row],[corpuslen]]&amp;"-"&amp;importmem[[#This Row],[expansion]]</f>
        <v>20-0.02</v>
      </c>
    </row>
    <row r="28" spans="1:6" x14ac:dyDescent="0.25">
      <c r="A28">
        <v>2</v>
      </c>
      <c r="B28">
        <v>0.2</v>
      </c>
      <c r="C28">
        <v>1001</v>
      </c>
      <c r="D28">
        <v>1000</v>
      </c>
      <c r="E28">
        <v>27966</v>
      </c>
      <c r="F28" t="str">
        <f>importmem[[#This Row],[corpuslen]]&amp;"-"&amp;importmem[[#This Row],[expansion]]</f>
        <v>2-0.2</v>
      </c>
    </row>
    <row r="29" spans="1:6" x14ac:dyDescent="0.25">
      <c r="A29">
        <v>1</v>
      </c>
      <c r="B29">
        <v>0.02</v>
      </c>
      <c r="C29">
        <v>1002</v>
      </c>
      <c r="D29">
        <v>998</v>
      </c>
      <c r="E29">
        <v>75966</v>
      </c>
      <c r="F29" t="str">
        <f>importmem[[#This Row],[corpuslen]]&amp;"-"&amp;importmem[[#This Row],[expansion]]</f>
        <v>1-0.02</v>
      </c>
    </row>
    <row r="30" spans="1:6" x14ac:dyDescent="0.25">
      <c r="A30">
        <v>100</v>
      </c>
      <c r="B30">
        <v>0.9</v>
      </c>
      <c r="C30">
        <v>1001</v>
      </c>
      <c r="D30">
        <v>999</v>
      </c>
      <c r="E30">
        <v>139966</v>
      </c>
      <c r="F30" t="str">
        <f>importmem[[#This Row],[corpuslen]]&amp;"-"&amp;importmem[[#This Row],[expansion]]</f>
        <v>100-0.9</v>
      </c>
    </row>
    <row r="31" spans="1:6" x14ac:dyDescent="0.25">
      <c r="A31">
        <v>100</v>
      </c>
      <c r="B31">
        <v>0.05</v>
      </c>
      <c r="C31">
        <v>1001</v>
      </c>
      <c r="D31">
        <v>996</v>
      </c>
      <c r="E31">
        <v>2059966</v>
      </c>
      <c r="F31" t="str">
        <f>importmem[[#This Row],[corpuslen]]&amp;"-"&amp;importmem[[#This Row],[expansion]]</f>
        <v>100-0.05</v>
      </c>
    </row>
    <row r="32" spans="1:6" x14ac:dyDescent="0.25">
      <c r="A32">
        <v>5</v>
      </c>
      <c r="B32">
        <v>0.2</v>
      </c>
      <c r="C32">
        <v>1001</v>
      </c>
      <c r="D32">
        <v>1000</v>
      </c>
      <c r="E32">
        <v>43966</v>
      </c>
      <c r="F32" t="str">
        <f>importmem[[#This Row],[corpuslen]]&amp;"-"&amp;importmem[[#This Row],[expansion]]</f>
        <v>5-0.2</v>
      </c>
    </row>
    <row r="33" spans="1:6" x14ac:dyDescent="0.25">
      <c r="A33">
        <v>5</v>
      </c>
      <c r="B33">
        <v>0.05</v>
      </c>
      <c r="C33">
        <v>1001</v>
      </c>
      <c r="D33">
        <v>999</v>
      </c>
      <c r="E33">
        <v>139966</v>
      </c>
      <c r="F33" t="str">
        <f>importmem[[#This Row],[corpuslen]]&amp;"-"&amp;importmem[[#This Row],[expansion]]</f>
        <v>5-0.05</v>
      </c>
    </row>
    <row r="34" spans="1:6" x14ac:dyDescent="0.25">
      <c r="A34">
        <v>200</v>
      </c>
      <c r="B34">
        <v>0.1</v>
      </c>
      <c r="C34">
        <v>1002</v>
      </c>
      <c r="D34">
        <v>998</v>
      </c>
      <c r="E34">
        <v>2059966</v>
      </c>
      <c r="F34" t="str">
        <f>importmem[[#This Row],[corpuslen]]&amp;"-"&amp;importmem[[#This Row],[expansion]]</f>
        <v>200-0.1</v>
      </c>
    </row>
    <row r="35" spans="1:6" x14ac:dyDescent="0.25">
      <c r="A35">
        <v>5</v>
      </c>
      <c r="B35">
        <v>0.1</v>
      </c>
      <c r="C35">
        <v>1001</v>
      </c>
      <c r="D35">
        <v>999</v>
      </c>
      <c r="E35">
        <v>75966</v>
      </c>
      <c r="F35" t="str">
        <f>importmem[[#This Row],[corpuslen]]&amp;"-"&amp;importmem[[#This Row],[expansion]]</f>
        <v>5-0.1</v>
      </c>
    </row>
    <row r="36" spans="1:6" x14ac:dyDescent="0.25">
      <c r="A36">
        <v>200</v>
      </c>
      <c r="B36">
        <v>0.05</v>
      </c>
      <c r="C36">
        <v>1001</v>
      </c>
      <c r="D36">
        <v>995</v>
      </c>
      <c r="E36">
        <v>4107966</v>
      </c>
      <c r="F36" t="str">
        <f>importmem[[#This Row],[corpuslen]]&amp;"-"&amp;importmem[[#This Row],[expansion]]</f>
        <v>200-0.05</v>
      </c>
    </row>
    <row r="37" spans="1:6" x14ac:dyDescent="0.25">
      <c r="A37">
        <v>20</v>
      </c>
      <c r="B37">
        <v>0.2</v>
      </c>
      <c r="C37">
        <v>1001</v>
      </c>
      <c r="D37">
        <v>999</v>
      </c>
      <c r="E37">
        <v>139966</v>
      </c>
      <c r="F37" t="str">
        <f>importmem[[#This Row],[corpuslen]]&amp;"-"&amp;importmem[[#This Row],[expansion]]</f>
        <v>20-0.2</v>
      </c>
    </row>
    <row r="38" spans="1:6" x14ac:dyDescent="0.25">
      <c r="A38">
        <v>2</v>
      </c>
      <c r="B38">
        <v>0.1</v>
      </c>
      <c r="C38">
        <v>1001</v>
      </c>
      <c r="D38">
        <v>999</v>
      </c>
      <c r="E38">
        <v>43966</v>
      </c>
      <c r="F38" t="str">
        <f>importmem[[#This Row],[corpuslen]]&amp;"-"&amp;importmem[[#This Row],[expansion]]</f>
        <v>2-0.1</v>
      </c>
    </row>
    <row r="39" spans="1:6" x14ac:dyDescent="0.25">
      <c r="A39">
        <v>20</v>
      </c>
      <c r="B39">
        <v>0.9</v>
      </c>
      <c r="C39">
        <v>1001</v>
      </c>
      <c r="D39">
        <v>1000</v>
      </c>
      <c r="E39">
        <v>43966</v>
      </c>
      <c r="F39" t="str">
        <f>importmem[[#This Row],[corpuslen]]&amp;"-"&amp;importmem[[#This Row],[expansion]]</f>
        <v>20-0.9</v>
      </c>
    </row>
    <row r="40" spans="1:6" x14ac:dyDescent="0.25">
      <c r="A40">
        <v>500</v>
      </c>
      <c r="B40">
        <v>0.2</v>
      </c>
      <c r="C40">
        <v>1001</v>
      </c>
      <c r="D40">
        <v>996</v>
      </c>
      <c r="E40">
        <v>4107966</v>
      </c>
      <c r="F40" t="str">
        <f>importmem[[#This Row],[corpuslen]]&amp;"-"&amp;importmem[[#This Row],[expansion]]</f>
        <v>500-0.2</v>
      </c>
    </row>
    <row r="41" spans="1:6" x14ac:dyDescent="0.25">
      <c r="A41">
        <v>100</v>
      </c>
      <c r="B41">
        <v>0.02</v>
      </c>
      <c r="C41">
        <v>1001</v>
      </c>
      <c r="D41">
        <v>990</v>
      </c>
      <c r="E41">
        <v>8203966</v>
      </c>
      <c r="F41" t="str">
        <f>importmem[[#This Row],[corpuslen]]&amp;"-"&amp;importmem[[#This Row],[expansion]]</f>
        <v>100-0.02</v>
      </c>
    </row>
    <row r="42" spans="1:6" x14ac:dyDescent="0.25">
      <c r="A42">
        <v>500</v>
      </c>
      <c r="B42">
        <v>0.5</v>
      </c>
      <c r="C42">
        <v>1001</v>
      </c>
      <c r="D42">
        <v>998</v>
      </c>
      <c r="E42">
        <v>1035966</v>
      </c>
      <c r="F42" t="str">
        <f>importmem[[#This Row],[corpuslen]]&amp;"-"&amp;importmem[[#This Row],[expansion]]</f>
        <v>500-0.5</v>
      </c>
    </row>
    <row r="43" spans="1:6" x14ac:dyDescent="0.25">
      <c r="A43">
        <v>50</v>
      </c>
      <c r="B43">
        <v>0.1</v>
      </c>
      <c r="C43">
        <v>1000</v>
      </c>
      <c r="D43">
        <v>998</v>
      </c>
      <c r="E43">
        <v>523966</v>
      </c>
      <c r="F43" t="str">
        <f>importmem[[#This Row],[corpuslen]]&amp;"-"&amp;importmem[[#This Row],[expansion]]</f>
        <v>50-0.1</v>
      </c>
    </row>
    <row r="44" spans="1:6" x14ac:dyDescent="0.25">
      <c r="A44">
        <v>200</v>
      </c>
      <c r="B44">
        <v>0.2</v>
      </c>
      <c r="C44">
        <v>1008</v>
      </c>
      <c r="D44">
        <v>1005</v>
      </c>
      <c r="E44">
        <v>1035966</v>
      </c>
      <c r="F44" t="str">
        <f>importmem[[#This Row],[corpuslen]]&amp;"-"&amp;importmem[[#This Row],[expansion]]</f>
        <v>200-0.2</v>
      </c>
    </row>
    <row r="45" spans="1:6" x14ac:dyDescent="0.25">
      <c r="A45">
        <v>1</v>
      </c>
      <c r="B45">
        <v>0.1</v>
      </c>
      <c r="C45">
        <v>1001</v>
      </c>
      <c r="D45">
        <v>1000</v>
      </c>
      <c r="E45">
        <v>27966</v>
      </c>
      <c r="F45" t="str">
        <f>importmem[[#This Row],[corpuslen]]&amp;"-"&amp;importmem[[#This Row],[expansion]]</f>
        <v>1-0.1</v>
      </c>
    </row>
    <row r="46" spans="1:6" x14ac:dyDescent="0.25">
      <c r="A46">
        <v>10</v>
      </c>
      <c r="B46">
        <v>0.9</v>
      </c>
      <c r="C46">
        <v>1000</v>
      </c>
      <c r="D46">
        <v>1000</v>
      </c>
      <c r="E46">
        <v>27966</v>
      </c>
      <c r="F46" t="str">
        <f>importmem[[#This Row],[corpuslen]]&amp;"-"&amp;importmem[[#This Row],[expansion]]</f>
        <v>10-0.9</v>
      </c>
    </row>
    <row r="47" spans="1:6" x14ac:dyDescent="0.25">
      <c r="A47">
        <v>200</v>
      </c>
      <c r="B47">
        <v>0.9</v>
      </c>
      <c r="C47">
        <v>1001</v>
      </c>
      <c r="D47">
        <v>999</v>
      </c>
      <c r="E47">
        <v>267966</v>
      </c>
      <c r="F47" t="str">
        <f>importmem[[#This Row],[corpuslen]]&amp;"-"&amp;importmem[[#This Row],[expansion]]</f>
        <v>200-0.9</v>
      </c>
    </row>
    <row r="48" spans="1:6" x14ac:dyDescent="0.25">
      <c r="A48">
        <v>20</v>
      </c>
      <c r="B48">
        <v>0.5</v>
      </c>
      <c r="C48">
        <v>1001</v>
      </c>
      <c r="D48">
        <v>999</v>
      </c>
      <c r="E48">
        <v>75966</v>
      </c>
      <c r="F48" t="str">
        <f>importmem[[#This Row],[corpuslen]]&amp;"-"&amp;importmem[[#This Row],[expansion]]</f>
        <v>20-0.5</v>
      </c>
    </row>
    <row r="49" spans="1:6" x14ac:dyDescent="0.25">
      <c r="A49">
        <v>10</v>
      </c>
      <c r="B49">
        <v>0.5</v>
      </c>
      <c r="C49">
        <v>1000</v>
      </c>
      <c r="D49">
        <v>999</v>
      </c>
      <c r="E49">
        <v>43966</v>
      </c>
      <c r="F49" t="str">
        <f>importmem[[#This Row],[corpuslen]]&amp;"-"&amp;importmem[[#This Row],[expansion]]</f>
        <v>10-0.5</v>
      </c>
    </row>
    <row r="50" spans="1:6" x14ac:dyDescent="0.25">
      <c r="A50">
        <v>50</v>
      </c>
      <c r="B50">
        <v>0.02</v>
      </c>
      <c r="C50">
        <v>1000</v>
      </c>
      <c r="D50">
        <v>993</v>
      </c>
      <c r="E50">
        <v>4107966</v>
      </c>
      <c r="F50" t="str">
        <f>importmem[[#This Row],[corpuslen]]&amp;"-"&amp;importmem[[#This Row],[expansion]]</f>
        <v>50-0.02</v>
      </c>
    </row>
    <row r="51" spans="1:6" x14ac:dyDescent="0.25">
      <c r="A51">
        <v>10</v>
      </c>
      <c r="B51">
        <v>0.05</v>
      </c>
      <c r="C51">
        <v>1000</v>
      </c>
      <c r="D51">
        <v>998</v>
      </c>
      <c r="E51">
        <v>267966</v>
      </c>
      <c r="F51" t="str">
        <f>importmem[[#This Row],[corpuslen]]&amp;"-"&amp;importmem[[#This Row],[expansion]]</f>
        <v>10-0.05</v>
      </c>
    </row>
    <row r="52" spans="1:6" x14ac:dyDescent="0.25">
      <c r="A52">
        <v>5</v>
      </c>
      <c r="B52">
        <v>0.02</v>
      </c>
      <c r="C52">
        <v>1000</v>
      </c>
      <c r="D52">
        <v>997</v>
      </c>
      <c r="E52">
        <v>267966</v>
      </c>
      <c r="F52" t="str">
        <f>importmem[[#This Row],[corpuslen]]&amp;"-"&amp;importmem[[#This Row],[expansion]]</f>
        <v>5-0.02</v>
      </c>
    </row>
    <row r="53" spans="1:6" x14ac:dyDescent="0.25">
      <c r="A53">
        <v>1</v>
      </c>
      <c r="B53">
        <v>0.05</v>
      </c>
      <c r="C53">
        <v>1000</v>
      </c>
      <c r="D53">
        <v>998</v>
      </c>
      <c r="E53">
        <v>43966</v>
      </c>
      <c r="F53" t="str">
        <f>importmem[[#This Row],[corpuslen]]&amp;"-"&amp;importmem[[#This Row],[expansion]]</f>
        <v>1-0.05</v>
      </c>
    </row>
    <row r="54" spans="1:6" x14ac:dyDescent="0.25">
      <c r="A54">
        <v>5</v>
      </c>
      <c r="B54">
        <v>0.5</v>
      </c>
      <c r="C54">
        <v>1004</v>
      </c>
      <c r="D54">
        <v>1003</v>
      </c>
      <c r="E54">
        <v>27966</v>
      </c>
      <c r="F54" t="str">
        <f>importmem[[#This Row],[corpuslen]]&amp;"-"&amp;importmem[[#This Row],[expansion]]</f>
        <v>5-0.5</v>
      </c>
    </row>
    <row r="55" spans="1:6" x14ac:dyDescent="0.25">
      <c r="A55">
        <v>500</v>
      </c>
      <c r="B55">
        <v>0.1</v>
      </c>
      <c r="C55">
        <v>1004</v>
      </c>
      <c r="D55">
        <v>996</v>
      </c>
      <c r="E55">
        <v>8203966</v>
      </c>
      <c r="F55" t="str">
        <f>importmem[[#This Row],[corpuslen]]&amp;"-"&amp;importmem[[#This Row],[expansion]]</f>
        <v>500-0.1</v>
      </c>
    </row>
    <row r="56" spans="1:6" x14ac:dyDescent="0.25">
      <c r="A56">
        <v>500</v>
      </c>
      <c r="B56">
        <v>0.99</v>
      </c>
      <c r="C56">
        <v>1001</v>
      </c>
      <c r="D56">
        <v>999</v>
      </c>
      <c r="E56">
        <v>523966</v>
      </c>
      <c r="F56" s="1" t="str">
        <f>importmem[[#This Row],[corpuslen]]&amp;"-"&amp;importmem[[#This Row],[expansion]]</f>
        <v>500-0.99</v>
      </c>
    </row>
    <row r="57" spans="1:6" x14ac:dyDescent="0.25">
      <c r="A57">
        <v>500</v>
      </c>
      <c r="B57">
        <v>0.3</v>
      </c>
      <c r="C57">
        <v>1001</v>
      </c>
      <c r="D57">
        <v>998</v>
      </c>
      <c r="E57">
        <v>2059966</v>
      </c>
      <c r="F57" s="1" t="str">
        <f>importmem[[#This Row],[corpuslen]]&amp;"-"&amp;importmem[[#This Row],[expansion]]</f>
        <v>500-0.3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2BB3B2-342D-4A5B-85D9-5C3B1B67B350}">
  <dimension ref="A1:I118"/>
  <sheetViews>
    <sheetView topLeftCell="A100" workbookViewId="0">
      <selection activeCell="A118" sqref="A118:H118"/>
    </sheetView>
  </sheetViews>
  <sheetFormatPr defaultRowHeight="15" x14ac:dyDescent="0.25"/>
  <sheetData>
    <row r="1" spans="1:8" x14ac:dyDescent="0.25">
      <c r="A1" t="s">
        <v>65</v>
      </c>
      <c r="B1" t="s">
        <v>54</v>
      </c>
      <c r="C1" t="s">
        <v>45</v>
      </c>
      <c r="D1">
        <v>1</v>
      </c>
      <c r="E1">
        <v>1</v>
      </c>
      <c r="F1">
        <v>610650000</v>
      </c>
      <c r="G1">
        <v>10.000062</v>
      </c>
      <c r="H1">
        <v>18221</v>
      </c>
    </row>
    <row r="2" spans="1:8" x14ac:dyDescent="0.25">
      <c r="A2" t="s">
        <v>65</v>
      </c>
      <c r="B2" t="s">
        <v>55</v>
      </c>
      <c r="C2" t="s">
        <v>45</v>
      </c>
      <c r="D2">
        <v>1</v>
      </c>
      <c r="E2">
        <v>10</v>
      </c>
      <c r="F2">
        <v>500770000</v>
      </c>
      <c r="G2">
        <v>10.000062</v>
      </c>
      <c r="H2">
        <v>14941</v>
      </c>
    </row>
    <row r="3" spans="1:8" x14ac:dyDescent="0.25">
      <c r="A3" t="s">
        <v>65</v>
      </c>
      <c r="B3" t="s">
        <v>56</v>
      </c>
      <c r="C3" t="s">
        <v>45</v>
      </c>
      <c r="D3">
        <v>1</v>
      </c>
      <c r="E3">
        <v>100</v>
      </c>
      <c r="F3">
        <v>111330000</v>
      </c>
      <c r="G3">
        <v>10.000305000000001</v>
      </c>
      <c r="H3">
        <v>3316</v>
      </c>
    </row>
    <row r="4" spans="1:8" x14ac:dyDescent="0.25">
      <c r="A4" t="s">
        <v>65</v>
      </c>
      <c r="B4" t="s">
        <v>57</v>
      </c>
      <c r="C4" t="s">
        <v>45</v>
      </c>
      <c r="D4">
        <v>1</v>
      </c>
      <c r="E4">
        <v>2</v>
      </c>
      <c r="F4">
        <v>503950000</v>
      </c>
      <c r="G4">
        <v>10.000114999999999</v>
      </c>
      <c r="H4">
        <v>15036</v>
      </c>
    </row>
    <row r="5" spans="1:8" x14ac:dyDescent="0.25">
      <c r="A5" t="s">
        <v>65</v>
      </c>
      <c r="B5" t="s">
        <v>58</v>
      </c>
      <c r="C5" t="s">
        <v>45</v>
      </c>
      <c r="D5">
        <v>1</v>
      </c>
      <c r="E5">
        <v>20</v>
      </c>
      <c r="F5">
        <v>118720000</v>
      </c>
      <c r="G5">
        <v>10.000698</v>
      </c>
      <c r="H5">
        <v>3536</v>
      </c>
    </row>
    <row r="6" spans="1:8" x14ac:dyDescent="0.25">
      <c r="A6" t="s">
        <v>65</v>
      </c>
      <c r="B6" t="s">
        <v>59</v>
      </c>
      <c r="C6" t="s">
        <v>45</v>
      </c>
      <c r="D6">
        <v>1</v>
      </c>
      <c r="E6">
        <v>200</v>
      </c>
      <c r="F6">
        <v>100580000</v>
      </c>
      <c r="G6">
        <v>10.000271</v>
      </c>
      <c r="H6">
        <v>2995</v>
      </c>
    </row>
    <row r="7" spans="1:8" x14ac:dyDescent="0.25">
      <c r="A7" t="s">
        <v>65</v>
      </c>
      <c r="B7" t="s">
        <v>60</v>
      </c>
      <c r="C7" t="s">
        <v>45</v>
      </c>
      <c r="D7">
        <v>1</v>
      </c>
      <c r="E7">
        <v>5</v>
      </c>
      <c r="F7">
        <v>499940000</v>
      </c>
      <c r="G7">
        <v>10.000069999999999</v>
      </c>
      <c r="H7">
        <v>14916</v>
      </c>
    </row>
    <row r="8" spans="1:8" x14ac:dyDescent="0.25">
      <c r="A8" t="s">
        <v>65</v>
      </c>
      <c r="B8" t="s">
        <v>61</v>
      </c>
      <c r="C8" t="s">
        <v>45</v>
      </c>
      <c r="D8">
        <v>1</v>
      </c>
      <c r="E8">
        <v>50</v>
      </c>
      <c r="F8">
        <v>112960000</v>
      </c>
      <c r="G8">
        <v>10.000648999999999</v>
      </c>
      <c r="H8">
        <v>3365</v>
      </c>
    </row>
    <row r="9" spans="1:8" x14ac:dyDescent="0.25">
      <c r="A9" t="s">
        <v>65</v>
      </c>
      <c r="B9" t="s">
        <v>62</v>
      </c>
      <c r="C9" t="s">
        <v>45</v>
      </c>
      <c r="D9">
        <v>1</v>
      </c>
      <c r="E9">
        <v>500</v>
      </c>
      <c r="F9">
        <v>88040000</v>
      </c>
      <c r="G9">
        <v>10.000127000000001</v>
      </c>
      <c r="H9">
        <v>2621</v>
      </c>
    </row>
    <row r="10" spans="1:8" x14ac:dyDescent="0.25">
      <c r="A10" t="s">
        <v>66</v>
      </c>
      <c r="B10" t="s">
        <v>54</v>
      </c>
      <c r="C10" t="s">
        <v>45</v>
      </c>
      <c r="D10">
        <v>1</v>
      </c>
      <c r="E10">
        <v>1</v>
      </c>
      <c r="F10">
        <v>284120000</v>
      </c>
      <c r="G10">
        <v>10.000071</v>
      </c>
      <c r="H10">
        <v>8474</v>
      </c>
    </row>
    <row r="11" spans="1:8" x14ac:dyDescent="0.25">
      <c r="A11" t="s">
        <v>66</v>
      </c>
      <c r="B11" t="s">
        <v>55</v>
      </c>
      <c r="C11" t="s">
        <v>45</v>
      </c>
      <c r="D11">
        <v>1</v>
      </c>
      <c r="E11">
        <v>10</v>
      </c>
      <c r="F11">
        <v>275460000</v>
      </c>
      <c r="G11">
        <v>10.000239000000001</v>
      </c>
      <c r="H11">
        <v>8215</v>
      </c>
    </row>
    <row r="12" spans="1:8" x14ac:dyDescent="0.25">
      <c r="A12" t="s">
        <v>66</v>
      </c>
      <c r="B12" t="s">
        <v>56</v>
      </c>
      <c r="C12" t="s">
        <v>45</v>
      </c>
      <c r="D12">
        <v>1</v>
      </c>
      <c r="E12">
        <v>100</v>
      </c>
      <c r="F12">
        <v>183680000</v>
      </c>
      <c r="G12">
        <v>10.0001</v>
      </c>
      <c r="H12">
        <v>5476</v>
      </c>
    </row>
    <row r="13" spans="1:8" x14ac:dyDescent="0.25">
      <c r="A13" t="s">
        <v>66</v>
      </c>
      <c r="B13" t="s">
        <v>57</v>
      </c>
      <c r="C13" t="s">
        <v>45</v>
      </c>
      <c r="D13">
        <v>1</v>
      </c>
      <c r="E13">
        <v>2</v>
      </c>
      <c r="F13">
        <v>280660000</v>
      </c>
      <c r="G13">
        <v>10.000154999999999</v>
      </c>
      <c r="H13">
        <v>8370</v>
      </c>
    </row>
    <row r="14" spans="1:8" x14ac:dyDescent="0.25">
      <c r="A14" t="s">
        <v>66</v>
      </c>
      <c r="B14" t="s">
        <v>58</v>
      </c>
      <c r="C14" t="s">
        <v>45</v>
      </c>
      <c r="D14">
        <v>1</v>
      </c>
      <c r="E14">
        <v>20</v>
      </c>
      <c r="F14">
        <v>264380000</v>
      </c>
      <c r="G14">
        <v>10.000075000000001</v>
      </c>
      <c r="H14">
        <v>7885</v>
      </c>
    </row>
    <row r="15" spans="1:8" x14ac:dyDescent="0.25">
      <c r="A15" t="s">
        <v>66</v>
      </c>
      <c r="B15" t="s">
        <v>59</v>
      </c>
      <c r="C15" t="s">
        <v>45</v>
      </c>
      <c r="D15">
        <v>1</v>
      </c>
      <c r="E15">
        <v>200</v>
      </c>
      <c r="F15">
        <v>164890000</v>
      </c>
      <c r="G15">
        <v>10.000461</v>
      </c>
      <c r="H15">
        <v>4915</v>
      </c>
    </row>
    <row r="16" spans="1:8" x14ac:dyDescent="0.25">
      <c r="A16" t="s">
        <v>66</v>
      </c>
      <c r="B16" t="s">
        <v>60</v>
      </c>
      <c r="C16" t="s">
        <v>45</v>
      </c>
      <c r="D16">
        <v>1</v>
      </c>
      <c r="E16">
        <v>5</v>
      </c>
      <c r="F16">
        <v>273620000</v>
      </c>
      <c r="G16">
        <v>10.000368</v>
      </c>
      <c r="H16">
        <v>8160</v>
      </c>
    </row>
    <row r="17" spans="1:9" x14ac:dyDescent="0.25">
      <c r="A17" t="s">
        <v>66</v>
      </c>
      <c r="B17" t="s">
        <v>61</v>
      </c>
      <c r="C17" t="s">
        <v>45</v>
      </c>
      <c r="D17">
        <v>1</v>
      </c>
      <c r="E17">
        <v>50</v>
      </c>
      <c r="F17">
        <v>250380000</v>
      </c>
      <c r="G17">
        <v>10.000076999999999</v>
      </c>
      <c r="H17">
        <v>7467</v>
      </c>
    </row>
    <row r="18" spans="1:9" x14ac:dyDescent="0.25">
      <c r="A18" t="s">
        <v>66</v>
      </c>
      <c r="B18" t="s">
        <v>62</v>
      </c>
      <c r="C18" t="s">
        <v>45</v>
      </c>
      <c r="D18">
        <v>1</v>
      </c>
      <c r="E18">
        <v>500</v>
      </c>
      <c r="F18">
        <v>116630000</v>
      </c>
      <c r="G18">
        <v>10.000111</v>
      </c>
      <c r="H18">
        <v>3474</v>
      </c>
    </row>
    <row r="20" spans="1:9" x14ac:dyDescent="0.25">
      <c r="A20" t="s">
        <v>66</v>
      </c>
      <c r="B20" t="s">
        <v>54</v>
      </c>
      <c r="C20" t="s">
        <v>45</v>
      </c>
      <c r="D20">
        <v>1</v>
      </c>
      <c r="E20">
        <v>1</v>
      </c>
      <c r="F20">
        <v>234390000</v>
      </c>
      <c r="G20">
        <v>10.000299</v>
      </c>
      <c r="H20">
        <v>6989</v>
      </c>
    </row>
    <row r="21" spans="1:9" x14ac:dyDescent="0.25">
      <c r="A21" t="s">
        <v>66</v>
      </c>
      <c r="B21" t="s">
        <v>55</v>
      </c>
      <c r="C21" t="s">
        <v>45</v>
      </c>
      <c r="D21">
        <v>1</v>
      </c>
      <c r="E21">
        <v>10</v>
      </c>
      <c r="F21">
        <v>210260000</v>
      </c>
      <c r="G21">
        <v>10.000406</v>
      </c>
      <c r="H21">
        <v>6269</v>
      </c>
    </row>
    <row r="22" spans="1:9" x14ac:dyDescent="0.25">
      <c r="A22" t="s">
        <v>66</v>
      </c>
      <c r="B22" t="s">
        <v>56</v>
      </c>
      <c r="C22" t="s">
        <v>45</v>
      </c>
      <c r="D22">
        <v>1</v>
      </c>
      <c r="E22">
        <v>100</v>
      </c>
      <c r="F22">
        <v>146600000</v>
      </c>
      <c r="G22">
        <v>10.000144000000001</v>
      </c>
      <c r="H22">
        <v>4369</v>
      </c>
    </row>
    <row r="23" spans="1:9" x14ac:dyDescent="0.25">
      <c r="A23" t="s">
        <v>66</v>
      </c>
      <c r="B23" t="s">
        <v>57</v>
      </c>
      <c r="C23" t="s">
        <v>45</v>
      </c>
      <c r="D23">
        <v>1</v>
      </c>
      <c r="E23">
        <v>2</v>
      </c>
      <c r="F23">
        <v>235170000</v>
      </c>
      <c r="G23">
        <v>10.000112</v>
      </c>
      <c r="H23">
        <v>7013</v>
      </c>
    </row>
    <row r="24" spans="1:9" x14ac:dyDescent="0.25">
      <c r="A24" t="s">
        <v>66</v>
      </c>
      <c r="B24" t="s">
        <v>58</v>
      </c>
      <c r="C24" t="s">
        <v>45</v>
      </c>
      <c r="D24">
        <v>1</v>
      </c>
      <c r="E24">
        <v>20</v>
      </c>
      <c r="F24">
        <v>201460000</v>
      </c>
      <c r="G24">
        <v>10.000306999999999</v>
      </c>
      <c r="H24">
        <v>6006</v>
      </c>
    </row>
    <row r="25" spans="1:9" x14ac:dyDescent="0.25">
      <c r="A25" t="s">
        <v>66</v>
      </c>
      <c r="B25" t="s">
        <v>59</v>
      </c>
      <c r="C25" t="s">
        <v>45</v>
      </c>
      <c r="D25">
        <v>1</v>
      </c>
      <c r="E25">
        <v>200</v>
      </c>
      <c r="F25">
        <v>130440000</v>
      </c>
      <c r="G25">
        <v>10.000413999999999</v>
      </c>
      <c r="H25">
        <v>3886</v>
      </c>
    </row>
    <row r="26" spans="1:9" x14ac:dyDescent="0.25">
      <c r="A26" t="s">
        <v>66</v>
      </c>
      <c r="B26" t="s">
        <v>60</v>
      </c>
      <c r="C26" t="s">
        <v>45</v>
      </c>
      <c r="D26">
        <v>1</v>
      </c>
      <c r="E26">
        <v>5</v>
      </c>
      <c r="F26">
        <v>212660000</v>
      </c>
      <c r="G26">
        <v>10.000358</v>
      </c>
      <c r="H26">
        <v>6341</v>
      </c>
    </row>
    <row r="27" spans="1:9" x14ac:dyDescent="0.25">
      <c r="A27" t="s">
        <v>66</v>
      </c>
      <c r="B27" t="s">
        <v>61</v>
      </c>
      <c r="C27" t="s">
        <v>45</v>
      </c>
      <c r="D27">
        <v>1</v>
      </c>
      <c r="E27">
        <v>50</v>
      </c>
      <c r="F27">
        <v>180070000</v>
      </c>
      <c r="G27">
        <v>10.000501999999999</v>
      </c>
      <c r="H27">
        <v>5368</v>
      </c>
    </row>
    <row r="28" spans="1:9" x14ac:dyDescent="0.25">
      <c r="A28" t="s">
        <v>66</v>
      </c>
      <c r="B28" t="s">
        <v>62</v>
      </c>
      <c r="C28" t="s">
        <v>45</v>
      </c>
      <c r="D28">
        <v>1</v>
      </c>
      <c r="E28">
        <v>500</v>
      </c>
      <c r="F28">
        <v>114720000</v>
      </c>
      <c r="G28">
        <v>10.0006</v>
      </c>
      <c r="H28">
        <v>3417</v>
      </c>
    </row>
    <row r="30" spans="1:9" x14ac:dyDescent="0.25">
      <c r="A30" t="s">
        <v>66</v>
      </c>
      <c r="B30" t="s">
        <v>58</v>
      </c>
      <c r="C30">
        <v>0.02</v>
      </c>
      <c r="D30" t="s">
        <v>45</v>
      </c>
      <c r="E30">
        <v>1</v>
      </c>
      <c r="F30">
        <v>20</v>
      </c>
      <c r="G30">
        <v>202840000</v>
      </c>
      <c r="H30">
        <v>10.00046</v>
      </c>
      <c r="I30">
        <v>6047</v>
      </c>
    </row>
    <row r="31" spans="1:9" x14ac:dyDescent="0.25">
      <c r="A31" t="s">
        <v>66</v>
      </c>
      <c r="B31" t="s">
        <v>58</v>
      </c>
      <c r="C31">
        <v>0.05</v>
      </c>
      <c r="D31" t="s">
        <v>45</v>
      </c>
      <c r="E31">
        <v>1</v>
      </c>
      <c r="F31">
        <v>20</v>
      </c>
      <c r="G31">
        <v>203690000</v>
      </c>
      <c r="H31">
        <v>10.000185</v>
      </c>
      <c r="I31">
        <v>6073</v>
      </c>
    </row>
    <row r="32" spans="1:9" x14ac:dyDescent="0.25">
      <c r="A32" t="s">
        <v>66</v>
      </c>
      <c r="B32" t="s">
        <v>58</v>
      </c>
      <c r="C32">
        <v>0.1</v>
      </c>
      <c r="D32" t="s">
        <v>45</v>
      </c>
      <c r="E32">
        <v>1</v>
      </c>
      <c r="F32">
        <v>20</v>
      </c>
      <c r="G32">
        <v>202910000</v>
      </c>
      <c r="H32">
        <v>10.000372</v>
      </c>
      <c r="I32">
        <v>6050</v>
      </c>
    </row>
    <row r="33" spans="1:9" x14ac:dyDescent="0.25">
      <c r="A33" t="s">
        <v>66</v>
      </c>
      <c r="B33" t="s">
        <v>58</v>
      </c>
      <c r="C33">
        <v>0.2</v>
      </c>
      <c r="D33" t="s">
        <v>45</v>
      </c>
      <c r="E33">
        <v>1</v>
      </c>
      <c r="F33">
        <v>20</v>
      </c>
      <c r="G33">
        <v>203500000</v>
      </c>
      <c r="H33">
        <v>10.000230999999999</v>
      </c>
      <c r="I33">
        <v>6067</v>
      </c>
    </row>
    <row r="34" spans="1:9" x14ac:dyDescent="0.25">
      <c r="A34" t="s">
        <v>66</v>
      </c>
      <c r="B34" t="s">
        <v>58</v>
      </c>
      <c r="C34">
        <v>0.5</v>
      </c>
      <c r="D34" t="s">
        <v>45</v>
      </c>
      <c r="E34">
        <v>1</v>
      </c>
      <c r="F34">
        <v>20</v>
      </c>
      <c r="G34">
        <v>246040000</v>
      </c>
      <c r="H34">
        <v>10.000266</v>
      </c>
      <c r="I34">
        <v>7337</v>
      </c>
    </row>
    <row r="35" spans="1:9" x14ac:dyDescent="0.25">
      <c r="A35" t="s">
        <v>66</v>
      </c>
      <c r="B35" t="s">
        <v>58</v>
      </c>
      <c r="C35">
        <v>0.9</v>
      </c>
      <c r="D35" t="s">
        <v>45</v>
      </c>
      <c r="E35">
        <v>1</v>
      </c>
      <c r="F35">
        <v>20</v>
      </c>
      <c r="G35">
        <v>266670000</v>
      </c>
      <c r="H35">
        <v>10.000332999999999</v>
      </c>
      <c r="I35">
        <v>7953</v>
      </c>
    </row>
    <row r="36" spans="1:9" x14ac:dyDescent="0.25">
      <c r="A36" t="s">
        <v>66</v>
      </c>
      <c r="B36" t="s">
        <v>56</v>
      </c>
      <c r="C36">
        <v>0.02</v>
      </c>
      <c r="D36" t="s">
        <v>45</v>
      </c>
      <c r="E36">
        <v>1</v>
      </c>
      <c r="F36">
        <v>100</v>
      </c>
      <c r="G36">
        <v>155240000</v>
      </c>
      <c r="H36">
        <v>10.000083999999999</v>
      </c>
      <c r="I36">
        <v>4627</v>
      </c>
    </row>
    <row r="37" spans="1:9" x14ac:dyDescent="0.25">
      <c r="A37" t="s">
        <v>66</v>
      </c>
      <c r="B37" t="s">
        <v>56</v>
      </c>
      <c r="C37">
        <v>0.05</v>
      </c>
      <c r="D37" t="s">
        <v>45</v>
      </c>
      <c r="E37">
        <v>1</v>
      </c>
      <c r="F37">
        <v>100</v>
      </c>
      <c r="G37">
        <v>154120000</v>
      </c>
      <c r="H37">
        <v>10.000050999999999</v>
      </c>
      <c r="I37">
        <v>4593</v>
      </c>
    </row>
    <row r="38" spans="1:9" x14ac:dyDescent="0.25">
      <c r="A38" t="s">
        <v>66</v>
      </c>
      <c r="B38" t="s">
        <v>56</v>
      </c>
      <c r="C38">
        <v>0.1</v>
      </c>
      <c r="D38" t="s">
        <v>45</v>
      </c>
      <c r="E38">
        <v>1</v>
      </c>
      <c r="F38">
        <v>100</v>
      </c>
      <c r="G38">
        <v>156560000</v>
      </c>
      <c r="H38">
        <v>10.000622999999999</v>
      </c>
      <c r="I38">
        <v>4666</v>
      </c>
    </row>
    <row r="39" spans="1:9" x14ac:dyDescent="0.25">
      <c r="A39" t="s">
        <v>66</v>
      </c>
      <c r="B39" t="s">
        <v>56</v>
      </c>
      <c r="C39">
        <v>0.2</v>
      </c>
      <c r="D39" t="s">
        <v>45</v>
      </c>
      <c r="E39">
        <v>1</v>
      </c>
      <c r="F39">
        <v>100</v>
      </c>
      <c r="G39">
        <v>144960000</v>
      </c>
      <c r="H39">
        <v>10.00048</v>
      </c>
      <c r="I39">
        <v>4320</v>
      </c>
    </row>
    <row r="40" spans="1:9" x14ac:dyDescent="0.25">
      <c r="A40" t="s">
        <v>66</v>
      </c>
      <c r="B40" t="s">
        <v>56</v>
      </c>
      <c r="C40">
        <v>0.5</v>
      </c>
      <c r="D40" t="s">
        <v>45</v>
      </c>
      <c r="E40">
        <v>1</v>
      </c>
      <c r="F40">
        <v>100</v>
      </c>
      <c r="G40">
        <v>186810000</v>
      </c>
      <c r="H40">
        <v>10.000484</v>
      </c>
      <c r="I40">
        <v>5569</v>
      </c>
    </row>
    <row r="41" spans="1:9" x14ac:dyDescent="0.25">
      <c r="A41" t="s">
        <v>66</v>
      </c>
      <c r="B41" t="s">
        <v>56</v>
      </c>
      <c r="C41">
        <v>0.9</v>
      </c>
      <c r="D41" t="s">
        <v>45</v>
      </c>
      <c r="E41">
        <v>1</v>
      </c>
      <c r="F41">
        <v>100</v>
      </c>
      <c r="G41">
        <v>199550000</v>
      </c>
      <c r="H41">
        <v>10.000176</v>
      </c>
      <c r="I41">
        <v>5949</v>
      </c>
    </row>
    <row r="42" spans="1:9" x14ac:dyDescent="0.25">
      <c r="A42" t="s">
        <v>66</v>
      </c>
      <c r="B42" t="s">
        <v>62</v>
      </c>
      <c r="C42">
        <v>0.02</v>
      </c>
      <c r="D42" t="s">
        <v>45</v>
      </c>
      <c r="E42">
        <v>1</v>
      </c>
      <c r="F42">
        <v>500</v>
      </c>
      <c r="G42">
        <v>85010000</v>
      </c>
      <c r="H42">
        <v>10.001021</v>
      </c>
      <c r="I42">
        <v>2530</v>
      </c>
    </row>
    <row r="43" spans="1:9" x14ac:dyDescent="0.25">
      <c r="A43" t="s">
        <v>66</v>
      </c>
      <c r="B43" t="s">
        <v>62</v>
      </c>
      <c r="C43">
        <v>0.05</v>
      </c>
      <c r="D43" t="s">
        <v>45</v>
      </c>
      <c r="E43">
        <v>1</v>
      </c>
      <c r="F43">
        <v>500</v>
      </c>
      <c r="G43">
        <v>116560000</v>
      </c>
      <c r="H43">
        <v>10.000821999999999</v>
      </c>
      <c r="I43">
        <v>3472</v>
      </c>
    </row>
    <row r="44" spans="1:9" x14ac:dyDescent="0.25">
      <c r="A44" t="s">
        <v>66</v>
      </c>
      <c r="B44" t="s">
        <v>62</v>
      </c>
      <c r="C44">
        <v>0.1</v>
      </c>
      <c r="D44" t="s">
        <v>45</v>
      </c>
      <c r="E44">
        <v>1</v>
      </c>
      <c r="F44">
        <v>500</v>
      </c>
      <c r="G44">
        <v>116600000</v>
      </c>
      <c r="H44">
        <v>10.000389</v>
      </c>
      <c r="I44">
        <v>3473</v>
      </c>
    </row>
    <row r="45" spans="1:9" x14ac:dyDescent="0.25">
      <c r="A45" t="s">
        <v>66</v>
      </c>
      <c r="B45" t="s">
        <v>62</v>
      </c>
      <c r="C45">
        <v>0.2</v>
      </c>
      <c r="D45" t="s">
        <v>45</v>
      </c>
      <c r="E45">
        <v>1</v>
      </c>
      <c r="F45">
        <v>500</v>
      </c>
      <c r="G45">
        <v>115610000</v>
      </c>
      <c r="H45">
        <v>10.000524</v>
      </c>
      <c r="I45">
        <v>3444</v>
      </c>
    </row>
    <row r="46" spans="1:9" x14ac:dyDescent="0.25">
      <c r="A46" t="s">
        <v>66</v>
      </c>
      <c r="B46" t="s">
        <v>62</v>
      </c>
      <c r="C46">
        <v>0.5</v>
      </c>
      <c r="D46" t="s">
        <v>45</v>
      </c>
      <c r="E46">
        <v>1</v>
      </c>
      <c r="F46">
        <v>500</v>
      </c>
      <c r="G46">
        <v>115540000</v>
      </c>
      <c r="H46">
        <v>10.000147</v>
      </c>
      <c r="I46">
        <v>3442</v>
      </c>
    </row>
    <row r="47" spans="1:9" x14ac:dyDescent="0.25">
      <c r="A47" t="s">
        <v>66</v>
      </c>
      <c r="B47" t="s">
        <v>62</v>
      </c>
      <c r="C47">
        <v>0.9</v>
      </c>
      <c r="D47" t="s">
        <v>45</v>
      </c>
      <c r="E47">
        <v>1</v>
      </c>
      <c r="F47">
        <v>500</v>
      </c>
      <c r="G47">
        <v>114600000</v>
      </c>
      <c r="H47">
        <v>10.000613</v>
      </c>
      <c r="I47">
        <v>3413</v>
      </c>
    </row>
    <row r="49" spans="1:9" x14ac:dyDescent="0.25">
      <c r="A49" t="s">
        <v>66</v>
      </c>
      <c r="B49" t="s">
        <v>58</v>
      </c>
      <c r="C49">
        <v>0.02</v>
      </c>
      <c r="D49" t="s">
        <v>45</v>
      </c>
      <c r="E49">
        <v>1</v>
      </c>
      <c r="F49">
        <v>20</v>
      </c>
      <c r="G49">
        <v>266750000</v>
      </c>
      <c r="H49">
        <v>10.000344999999999</v>
      </c>
      <c r="I49">
        <v>7955</v>
      </c>
    </row>
    <row r="50" spans="1:9" x14ac:dyDescent="0.25">
      <c r="A50" t="s">
        <v>66</v>
      </c>
      <c r="B50" t="s">
        <v>58</v>
      </c>
      <c r="C50">
        <v>0.05</v>
      </c>
      <c r="D50" t="s">
        <v>45</v>
      </c>
      <c r="E50">
        <v>1</v>
      </c>
      <c r="F50">
        <v>20</v>
      </c>
      <c r="G50">
        <v>266150000</v>
      </c>
      <c r="H50">
        <v>10.000287999999999</v>
      </c>
      <c r="I50">
        <v>7937</v>
      </c>
    </row>
    <row r="51" spans="1:9" x14ac:dyDescent="0.25">
      <c r="A51" t="s">
        <v>66</v>
      </c>
      <c r="B51" t="s">
        <v>58</v>
      </c>
      <c r="C51">
        <v>0.1</v>
      </c>
      <c r="D51" t="s">
        <v>45</v>
      </c>
      <c r="E51">
        <v>1</v>
      </c>
      <c r="F51">
        <v>20</v>
      </c>
      <c r="G51">
        <v>261320000</v>
      </c>
      <c r="H51">
        <v>10.000342</v>
      </c>
      <c r="I51">
        <v>7793</v>
      </c>
    </row>
    <row r="52" spans="1:9" x14ac:dyDescent="0.25">
      <c r="A52" t="s">
        <v>66</v>
      </c>
      <c r="B52" t="s">
        <v>58</v>
      </c>
      <c r="C52">
        <v>0.2</v>
      </c>
      <c r="D52" t="s">
        <v>45</v>
      </c>
      <c r="E52">
        <v>1</v>
      </c>
      <c r="F52">
        <v>20</v>
      </c>
      <c r="G52">
        <v>260830000</v>
      </c>
      <c r="H52">
        <v>10.000373</v>
      </c>
      <c r="I52">
        <v>7779</v>
      </c>
    </row>
    <row r="53" spans="1:9" x14ac:dyDescent="0.25">
      <c r="A53" t="s">
        <v>66</v>
      </c>
      <c r="B53" t="s">
        <v>58</v>
      </c>
      <c r="C53">
        <v>0.5</v>
      </c>
      <c r="D53" t="s">
        <v>45</v>
      </c>
      <c r="E53">
        <v>1</v>
      </c>
      <c r="F53">
        <v>20</v>
      </c>
      <c r="G53">
        <v>244180000</v>
      </c>
      <c r="H53">
        <v>10.000201000000001</v>
      </c>
      <c r="I53">
        <v>7282</v>
      </c>
    </row>
    <row r="54" spans="1:9" x14ac:dyDescent="0.25">
      <c r="A54" t="s">
        <v>66</v>
      </c>
      <c r="B54" t="s">
        <v>58</v>
      </c>
      <c r="C54">
        <v>0.9</v>
      </c>
      <c r="D54" t="s">
        <v>45</v>
      </c>
      <c r="E54">
        <v>1</v>
      </c>
      <c r="F54">
        <v>20</v>
      </c>
      <c r="G54">
        <v>203880000</v>
      </c>
      <c r="H54">
        <v>10.000106000000001</v>
      </c>
      <c r="I54">
        <v>6079</v>
      </c>
    </row>
    <row r="55" spans="1:9" x14ac:dyDescent="0.25">
      <c r="A55" t="s">
        <v>66</v>
      </c>
      <c r="B55" t="s">
        <v>56</v>
      </c>
      <c r="C55">
        <v>0.02</v>
      </c>
      <c r="D55" t="s">
        <v>45</v>
      </c>
      <c r="E55">
        <v>1</v>
      </c>
      <c r="F55">
        <v>100</v>
      </c>
      <c r="G55">
        <v>202180000</v>
      </c>
      <c r="H55">
        <v>10.000014999999999</v>
      </c>
      <c r="I55">
        <v>6028</v>
      </c>
    </row>
    <row r="56" spans="1:9" x14ac:dyDescent="0.25">
      <c r="A56" t="s">
        <v>66</v>
      </c>
      <c r="B56" t="s">
        <v>56</v>
      </c>
      <c r="C56">
        <v>0.05</v>
      </c>
      <c r="D56" t="s">
        <v>45</v>
      </c>
      <c r="E56">
        <v>1</v>
      </c>
      <c r="F56">
        <v>100</v>
      </c>
      <c r="G56">
        <v>192840000</v>
      </c>
      <c r="H56">
        <v>10.000189000000001</v>
      </c>
      <c r="I56">
        <v>5749</v>
      </c>
    </row>
    <row r="57" spans="1:9" x14ac:dyDescent="0.25">
      <c r="A57" t="s">
        <v>66</v>
      </c>
      <c r="B57" t="s">
        <v>56</v>
      </c>
      <c r="C57">
        <v>0.1</v>
      </c>
      <c r="D57" t="s">
        <v>45</v>
      </c>
      <c r="E57">
        <v>1</v>
      </c>
      <c r="F57">
        <v>100</v>
      </c>
      <c r="G57">
        <v>196240000</v>
      </c>
      <c r="H57">
        <v>10.000149</v>
      </c>
      <c r="I57">
        <v>5850</v>
      </c>
    </row>
    <row r="58" spans="1:9" x14ac:dyDescent="0.25">
      <c r="A58" t="s">
        <v>66</v>
      </c>
      <c r="B58" t="s">
        <v>56</v>
      </c>
      <c r="C58">
        <v>0.2</v>
      </c>
      <c r="D58" t="s">
        <v>45</v>
      </c>
      <c r="E58">
        <v>1</v>
      </c>
      <c r="F58">
        <v>100</v>
      </c>
      <c r="G58">
        <v>180160000</v>
      </c>
      <c r="H58">
        <v>10.000173999999999</v>
      </c>
      <c r="I58">
        <v>5370</v>
      </c>
    </row>
    <row r="59" spans="1:9" x14ac:dyDescent="0.25">
      <c r="A59" t="s">
        <v>66</v>
      </c>
      <c r="B59" t="s">
        <v>56</v>
      </c>
      <c r="C59">
        <v>0.5</v>
      </c>
      <c r="D59" t="s">
        <v>45</v>
      </c>
      <c r="E59">
        <v>1</v>
      </c>
      <c r="F59">
        <v>100</v>
      </c>
      <c r="G59">
        <v>179330000</v>
      </c>
      <c r="H59">
        <v>10.000429</v>
      </c>
      <c r="I59">
        <v>5346</v>
      </c>
    </row>
    <row r="60" spans="1:9" x14ac:dyDescent="0.25">
      <c r="A60" t="s">
        <v>66</v>
      </c>
      <c r="B60" t="s">
        <v>56</v>
      </c>
      <c r="C60">
        <v>0.9</v>
      </c>
      <c r="D60" t="s">
        <v>45</v>
      </c>
      <c r="E60">
        <v>1</v>
      </c>
      <c r="F60">
        <v>100</v>
      </c>
      <c r="G60">
        <v>140850000</v>
      </c>
      <c r="H60">
        <v>10.000560999999999</v>
      </c>
      <c r="I60">
        <v>4197</v>
      </c>
    </row>
    <row r="61" spans="1:9" x14ac:dyDescent="0.25">
      <c r="A61" t="s">
        <v>66</v>
      </c>
      <c r="B61" t="s">
        <v>62</v>
      </c>
      <c r="C61">
        <v>0.02</v>
      </c>
      <c r="D61" t="s">
        <v>45</v>
      </c>
      <c r="E61">
        <v>1</v>
      </c>
      <c r="F61">
        <v>500</v>
      </c>
      <c r="G61">
        <v>87190000</v>
      </c>
      <c r="H61">
        <v>10.000909999999999</v>
      </c>
      <c r="I61">
        <v>2595</v>
      </c>
    </row>
    <row r="62" spans="1:9" x14ac:dyDescent="0.25">
      <c r="A62" t="s">
        <v>66</v>
      </c>
      <c r="B62" t="s">
        <v>62</v>
      </c>
      <c r="C62">
        <v>0.05</v>
      </c>
      <c r="D62" t="s">
        <v>45</v>
      </c>
      <c r="E62">
        <v>1</v>
      </c>
      <c r="F62">
        <v>500</v>
      </c>
      <c r="G62">
        <v>85870000</v>
      </c>
      <c r="H62">
        <v>10.001094</v>
      </c>
      <c r="I62">
        <v>2556</v>
      </c>
    </row>
    <row r="63" spans="1:9" x14ac:dyDescent="0.25">
      <c r="A63" t="s">
        <v>66</v>
      </c>
      <c r="B63" t="s">
        <v>62</v>
      </c>
      <c r="C63">
        <v>0.1</v>
      </c>
      <c r="D63" t="s">
        <v>45</v>
      </c>
      <c r="E63">
        <v>1</v>
      </c>
      <c r="F63">
        <v>500</v>
      </c>
      <c r="G63">
        <v>113590000</v>
      </c>
      <c r="H63">
        <v>10.000859</v>
      </c>
      <c r="I63">
        <v>3383</v>
      </c>
    </row>
    <row r="64" spans="1:9" x14ac:dyDescent="0.25">
      <c r="A64" t="s">
        <v>66</v>
      </c>
      <c r="B64" t="s">
        <v>62</v>
      </c>
      <c r="C64">
        <v>0.2</v>
      </c>
      <c r="D64" t="s">
        <v>45</v>
      </c>
      <c r="E64">
        <v>1</v>
      </c>
      <c r="F64">
        <v>500</v>
      </c>
      <c r="G64">
        <v>112050000</v>
      </c>
      <c r="H64">
        <v>10.000698999999999</v>
      </c>
      <c r="I64">
        <v>3337</v>
      </c>
    </row>
    <row r="65" spans="1:9" x14ac:dyDescent="0.25">
      <c r="A65" t="s">
        <v>66</v>
      </c>
      <c r="B65" t="s">
        <v>62</v>
      </c>
      <c r="C65">
        <v>0.5</v>
      </c>
      <c r="D65" t="s">
        <v>45</v>
      </c>
      <c r="E65">
        <v>1</v>
      </c>
      <c r="F65">
        <v>500</v>
      </c>
      <c r="G65">
        <v>113270000</v>
      </c>
      <c r="H65">
        <v>10.0001</v>
      </c>
      <c r="I65">
        <v>3374</v>
      </c>
    </row>
    <row r="66" spans="1:9" x14ac:dyDescent="0.25">
      <c r="A66" t="s">
        <v>66</v>
      </c>
      <c r="B66" t="s">
        <v>62</v>
      </c>
      <c r="C66">
        <v>0.9</v>
      </c>
      <c r="D66" t="s">
        <v>45</v>
      </c>
      <c r="E66">
        <v>1</v>
      </c>
      <c r="F66">
        <v>500</v>
      </c>
      <c r="G66">
        <v>113650000</v>
      </c>
      <c r="H66">
        <v>10.000819</v>
      </c>
      <c r="I66">
        <v>3385</v>
      </c>
    </row>
    <row r="68" spans="1:9" x14ac:dyDescent="0.25">
      <c r="A68" t="s">
        <v>66</v>
      </c>
      <c r="B68" t="s">
        <v>61</v>
      </c>
      <c r="C68">
        <v>0.02</v>
      </c>
      <c r="D68" t="s">
        <v>45</v>
      </c>
      <c r="E68">
        <v>1</v>
      </c>
      <c r="F68">
        <v>50</v>
      </c>
      <c r="G68">
        <v>254680000</v>
      </c>
      <c r="H68">
        <v>10.000083</v>
      </c>
      <c r="I68">
        <v>7595</v>
      </c>
    </row>
    <row r="69" spans="1:9" x14ac:dyDescent="0.25">
      <c r="A69" t="s">
        <v>66</v>
      </c>
      <c r="B69" t="s">
        <v>61</v>
      </c>
      <c r="C69">
        <v>0.05</v>
      </c>
      <c r="D69" t="s">
        <v>45</v>
      </c>
      <c r="E69">
        <v>1</v>
      </c>
      <c r="F69">
        <v>50</v>
      </c>
      <c r="G69">
        <v>255110000</v>
      </c>
      <c r="H69">
        <v>10.000045999999999</v>
      </c>
      <c r="I69">
        <v>7608</v>
      </c>
    </row>
    <row r="70" spans="1:9" x14ac:dyDescent="0.25">
      <c r="A70" t="s">
        <v>66</v>
      </c>
      <c r="B70" t="s">
        <v>61</v>
      </c>
      <c r="C70">
        <v>0.1</v>
      </c>
      <c r="D70" t="s">
        <v>45</v>
      </c>
      <c r="E70">
        <v>1</v>
      </c>
      <c r="F70">
        <v>50</v>
      </c>
      <c r="G70">
        <v>250770000</v>
      </c>
      <c r="H70">
        <v>10.000318999999999</v>
      </c>
      <c r="I70">
        <v>7478</v>
      </c>
    </row>
    <row r="71" spans="1:9" x14ac:dyDescent="0.25">
      <c r="A71" t="s">
        <v>66</v>
      </c>
      <c r="B71" t="s">
        <v>61</v>
      </c>
      <c r="C71">
        <v>0.2</v>
      </c>
      <c r="D71" t="s">
        <v>45</v>
      </c>
      <c r="E71">
        <v>1</v>
      </c>
      <c r="F71">
        <v>50</v>
      </c>
      <c r="G71">
        <v>199020000</v>
      </c>
      <c r="H71">
        <v>10.000203000000001</v>
      </c>
      <c r="I71">
        <v>5933</v>
      </c>
    </row>
    <row r="72" spans="1:9" x14ac:dyDescent="0.25">
      <c r="A72" t="s">
        <v>66</v>
      </c>
      <c r="B72" t="s">
        <v>61</v>
      </c>
      <c r="C72">
        <v>0.5</v>
      </c>
      <c r="D72" t="s">
        <v>45</v>
      </c>
      <c r="E72">
        <v>1</v>
      </c>
      <c r="F72">
        <v>50</v>
      </c>
      <c r="G72">
        <v>227630000</v>
      </c>
      <c r="H72">
        <v>10.000235</v>
      </c>
      <c r="I72">
        <v>6787</v>
      </c>
    </row>
    <row r="73" spans="1:9" x14ac:dyDescent="0.25">
      <c r="A73" t="s">
        <v>66</v>
      </c>
      <c r="B73" t="s">
        <v>61</v>
      </c>
      <c r="C73">
        <v>0.9</v>
      </c>
      <c r="D73" t="s">
        <v>45</v>
      </c>
      <c r="E73">
        <v>1</v>
      </c>
      <c r="F73">
        <v>50</v>
      </c>
      <c r="G73">
        <v>179660000</v>
      </c>
      <c r="H73">
        <v>10.000283</v>
      </c>
      <c r="I73">
        <v>5356</v>
      </c>
    </row>
    <row r="74" spans="1:9" x14ac:dyDescent="0.25">
      <c r="A74" t="s">
        <v>66</v>
      </c>
      <c r="B74" t="s">
        <v>59</v>
      </c>
      <c r="C74">
        <v>0.02</v>
      </c>
      <c r="D74" t="s">
        <v>45</v>
      </c>
      <c r="E74">
        <v>1</v>
      </c>
      <c r="F74">
        <v>200</v>
      </c>
      <c r="G74">
        <v>155900000</v>
      </c>
      <c r="H74">
        <v>10.000534999999999</v>
      </c>
      <c r="I74">
        <v>4646</v>
      </c>
    </row>
    <row r="75" spans="1:9" x14ac:dyDescent="0.25">
      <c r="A75" t="s">
        <v>66</v>
      </c>
      <c r="B75" t="s">
        <v>59</v>
      </c>
      <c r="C75">
        <v>0.05</v>
      </c>
      <c r="D75" t="s">
        <v>45</v>
      </c>
      <c r="E75">
        <v>1</v>
      </c>
      <c r="F75">
        <v>200</v>
      </c>
      <c r="G75">
        <v>195800000</v>
      </c>
      <c r="H75">
        <v>10.000517</v>
      </c>
      <c r="I75">
        <v>5837</v>
      </c>
    </row>
    <row r="76" spans="1:9" x14ac:dyDescent="0.25">
      <c r="A76" t="s">
        <v>66</v>
      </c>
      <c r="B76" t="s">
        <v>59</v>
      </c>
      <c r="C76">
        <v>0.1</v>
      </c>
      <c r="D76" t="s">
        <v>45</v>
      </c>
      <c r="E76">
        <v>1</v>
      </c>
      <c r="F76">
        <v>200</v>
      </c>
      <c r="G76">
        <v>195010000</v>
      </c>
      <c r="H76">
        <v>10.000181</v>
      </c>
      <c r="I76">
        <v>5814</v>
      </c>
    </row>
    <row r="77" spans="1:9" x14ac:dyDescent="0.25">
      <c r="A77" t="s">
        <v>66</v>
      </c>
      <c r="B77" t="s">
        <v>59</v>
      </c>
      <c r="C77">
        <v>0.2</v>
      </c>
      <c r="D77" t="s">
        <v>45</v>
      </c>
      <c r="E77">
        <v>1</v>
      </c>
      <c r="F77">
        <v>200</v>
      </c>
      <c r="G77">
        <v>191590000</v>
      </c>
      <c r="H77">
        <v>10.000189000000001</v>
      </c>
      <c r="I77">
        <v>5712</v>
      </c>
    </row>
    <row r="78" spans="1:9" x14ac:dyDescent="0.25">
      <c r="A78" t="s">
        <v>66</v>
      </c>
      <c r="B78" t="s">
        <v>59</v>
      </c>
      <c r="C78">
        <v>0.5</v>
      </c>
      <c r="D78" t="s">
        <v>45</v>
      </c>
      <c r="E78">
        <v>1</v>
      </c>
      <c r="F78">
        <v>200</v>
      </c>
      <c r="G78">
        <v>181820000</v>
      </c>
      <c r="H78">
        <v>10.000651</v>
      </c>
      <c r="I78">
        <v>5420</v>
      </c>
    </row>
    <row r="79" spans="1:9" x14ac:dyDescent="0.25">
      <c r="A79" t="s">
        <v>66</v>
      </c>
      <c r="B79" t="s">
        <v>59</v>
      </c>
      <c r="C79">
        <v>0.9</v>
      </c>
      <c r="D79" t="s">
        <v>45</v>
      </c>
      <c r="E79">
        <v>1</v>
      </c>
      <c r="F79">
        <v>200</v>
      </c>
      <c r="G79">
        <v>149230000</v>
      </c>
      <c r="H79">
        <v>10.000360000000001</v>
      </c>
      <c r="I79">
        <v>4447</v>
      </c>
    </row>
    <row r="81" spans="1:9" x14ac:dyDescent="0.25">
      <c r="A81" t="s">
        <v>66</v>
      </c>
      <c r="B81" t="s">
        <v>61</v>
      </c>
      <c r="C81">
        <v>0.02</v>
      </c>
      <c r="D81" t="s">
        <v>45</v>
      </c>
      <c r="E81">
        <v>1</v>
      </c>
      <c r="F81">
        <v>50</v>
      </c>
      <c r="G81">
        <v>255560000</v>
      </c>
      <c r="H81">
        <v>10.000211999999999</v>
      </c>
      <c r="I81">
        <v>7621</v>
      </c>
    </row>
    <row r="82" spans="1:9" x14ac:dyDescent="0.25">
      <c r="A82" t="s">
        <v>66</v>
      </c>
      <c r="B82" t="s">
        <v>61</v>
      </c>
      <c r="C82">
        <v>0.05</v>
      </c>
      <c r="D82" t="s">
        <v>45</v>
      </c>
      <c r="E82">
        <v>1</v>
      </c>
      <c r="F82">
        <v>50</v>
      </c>
      <c r="G82">
        <v>255480000</v>
      </c>
      <c r="H82">
        <v>10.000351</v>
      </c>
      <c r="I82">
        <v>7619</v>
      </c>
    </row>
    <row r="83" spans="1:9" x14ac:dyDescent="0.25">
      <c r="A83" t="s">
        <v>66</v>
      </c>
      <c r="B83" t="s">
        <v>61</v>
      </c>
      <c r="C83">
        <v>0.1</v>
      </c>
      <c r="D83" t="s">
        <v>45</v>
      </c>
      <c r="E83">
        <v>1</v>
      </c>
      <c r="F83">
        <v>50</v>
      </c>
      <c r="G83">
        <v>250860000</v>
      </c>
      <c r="H83">
        <v>10.000109999999999</v>
      </c>
      <c r="I83">
        <v>7481</v>
      </c>
    </row>
    <row r="84" spans="1:9" x14ac:dyDescent="0.25">
      <c r="A84" t="s">
        <v>66</v>
      </c>
      <c r="B84" t="s">
        <v>61</v>
      </c>
      <c r="C84">
        <v>0.2</v>
      </c>
      <c r="D84" t="s">
        <v>45</v>
      </c>
      <c r="E84">
        <v>1</v>
      </c>
      <c r="F84">
        <v>50</v>
      </c>
      <c r="G84">
        <v>241010000</v>
      </c>
      <c r="H84">
        <v>10.000322000000001</v>
      </c>
      <c r="I84">
        <v>7187</v>
      </c>
    </row>
    <row r="85" spans="1:9" x14ac:dyDescent="0.25">
      <c r="A85" t="s">
        <v>66</v>
      </c>
      <c r="B85" t="s">
        <v>61</v>
      </c>
      <c r="C85">
        <v>0.5</v>
      </c>
      <c r="D85" t="s">
        <v>45</v>
      </c>
      <c r="E85">
        <v>1</v>
      </c>
      <c r="F85">
        <v>50</v>
      </c>
      <c r="G85">
        <v>227910000</v>
      </c>
      <c r="H85">
        <v>10.000045999999999</v>
      </c>
      <c r="I85">
        <v>6796</v>
      </c>
    </row>
    <row r="86" spans="1:9" x14ac:dyDescent="0.25">
      <c r="A86" t="s">
        <v>66</v>
      </c>
      <c r="B86" t="s">
        <v>61</v>
      </c>
      <c r="C86">
        <v>0.9</v>
      </c>
      <c r="D86" t="s">
        <v>45</v>
      </c>
      <c r="E86">
        <v>1</v>
      </c>
      <c r="F86">
        <v>50</v>
      </c>
      <c r="G86">
        <v>179790000</v>
      </c>
      <c r="H86">
        <v>10.000095999999999</v>
      </c>
      <c r="I86">
        <v>5359</v>
      </c>
    </row>
    <row r="89" spans="1:9" x14ac:dyDescent="0.25">
      <c r="A89" t="s">
        <v>63</v>
      </c>
      <c r="B89" t="s">
        <v>56</v>
      </c>
      <c r="C89">
        <v>0.02</v>
      </c>
      <c r="D89" t="s">
        <v>45</v>
      </c>
      <c r="E89">
        <v>1</v>
      </c>
      <c r="F89">
        <v>100</v>
      </c>
      <c r="G89">
        <v>190020000</v>
      </c>
      <c r="H89">
        <v>10.000075000000001</v>
      </c>
      <c r="I89">
        <v>5665</v>
      </c>
    </row>
    <row r="90" spans="1:9" x14ac:dyDescent="0.25">
      <c r="A90" t="s">
        <v>63</v>
      </c>
      <c r="B90" t="s">
        <v>56</v>
      </c>
      <c r="C90">
        <v>0.05</v>
      </c>
      <c r="D90" t="s">
        <v>45</v>
      </c>
      <c r="E90">
        <v>1</v>
      </c>
      <c r="F90">
        <v>100</v>
      </c>
      <c r="G90">
        <v>187840000</v>
      </c>
      <c r="H90">
        <v>10.000304</v>
      </c>
      <c r="I90">
        <v>5600</v>
      </c>
    </row>
    <row r="91" spans="1:9" x14ac:dyDescent="0.25">
      <c r="A91" t="s">
        <v>63</v>
      </c>
      <c r="B91" t="s">
        <v>56</v>
      </c>
      <c r="C91">
        <v>0.1</v>
      </c>
      <c r="D91" t="s">
        <v>45</v>
      </c>
      <c r="E91">
        <v>1</v>
      </c>
      <c r="F91">
        <v>100</v>
      </c>
      <c r="G91">
        <v>195820000</v>
      </c>
      <c r="H91">
        <v>10.000234000000001</v>
      </c>
      <c r="I91">
        <v>5838</v>
      </c>
    </row>
    <row r="92" spans="1:9" x14ac:dyDescent="0.25">
      <c r="A92" t="s">
        <v>63</v>
      </c>
      <c r="B92" t="s">
        <v>56</v>
      </c>
      <c r="C92">
        <v>0.2</v>
      </c>
      <c r="D92" t="s">
        <v>45</v>
      </c>
      <c r="E92">
        <v>1</v>
      </c>
      <c r="F92">
        <v>100</v>
      </c>
      <c r="G92">
        <v>180920000</v>
      </c>
      <c r="H92">
        <v>10.000185</v>
      </c>
      <c r="I92">
        <v>5393</v>
      </c>
    </row>
    <row r="93" spans="1:9" x14ac:dyDescent="0.25">
      <c r="A93" t="s">
        <v>63</v>
      </c>
      <c r="B93" t="s">
        <v>56</v>
      </c>
      <c r="C93">
        <v>0.5</v>
      </c>
      <c r="D93" t="s">
        <v>45</v>
      </c>
      <c r="E93">
        <v>1</v>
      </c>
      <c r="F93">
        <v>100</v>
      </c>
      <c r="G93">
        <v>182230000</v>
      </c>
      <c r="H93">
        <v>10.000315000000001</v>
      </c>
      <c r="I93">
        <v>5432</v>
      </c>
    </row>
    <row r="94" spans="1:9" x14ac:dyDescent="0.25">
      <c r="A94" t="s">
        <v>63</v>
      </c>
      <c r="B94" t="s">
        <v>56</v>
      </c>
      <c r="C94">
        <v>0.9</v>
      </c>
      <c r="D94" t="s">
        <v>45</v>
      </c>
      <c r="E94">
        <v>1</v>
      </c>
      <c r="F94">
        <v>100</v>
      </c>
      <c r="G94">
        <v>139260000</v>
      </c>
      <c r="H94">
        <v>10.000189000000001</v>
      </c>
      <c r="I94">
        <v>4150</v>
      </c>
    </row>
    <row r="96" spans="1:9" x14ac:dyDescent="0.25">
      <c r="A96" t="s">
        <v>63</v>
      </c>
      <c r="B96" t="s">
        <v>59</v>
      </c>
      <c r="C96">
        <v>0.02</v>
      </c>
      <c r="D96" t="s">
        <v>45</v>
      </c>
      <c r="E96">
        <v>1</v>
      </c>
      <c r="F96">
        <v>200</v>
      </c>
      <c r="G96">
        <v>148570000</v>
      </c>
      <c r="H96">
        <v>10.00034</v>
      </c>
      <c r="I96">
        <v>4427</v>
      </c>
    </row>
    <row r="97" spans="1:9" x14ac:dyDescent="0.25">
      <c r="A97" t="s">
        <v>63</v>
      </c>
      <c r="B97" t="s">
        <v>59</v>
      </c>
      <c r="C97">
        <v>0.05</v>
      </c>
      <c r="D97" t="s">
        <v>45</v>
      </c>
      <c r="E97">
        <v>1</v>
      </c>
      <c r="F97">
        <v>200</v>
      </c>
      <c r="G97">
        <v>165360000</v>
      </c>
      <c r="H97">
        <v>10.000303000000001</v>
      </c>
      <c r="I97">
        <v>4929</v>
      </c>
    </row>
    <row r="98" spans="1:9" x14ac:dyDescent="0.25">
      <c r="A98" t="s">
        <v>63</v>
      </c>
      <c r="B98" t="s">
        <v>59</v>
      </c>
      <c r="C98">
        <v>0.1</v>
      </c>
      <c r="D98" t="s">
        <v>45</v>
      </c>
      <c r="E98">
        <v>1</v>
      </c>
      <c r="F98">
        <v>200</v>
      </c>
      <c r="G98">
        <v>165710000</v>
      </c>
      <c r="H98">
        <v>10.000317000000001</v>
      </c>
      <c r="I98">
        <v>4939</v>
      </c>
    </row>
    <row r="99" spans="1:9" x14ac:dyDescent="0.25">
      <c r="A99" t="s">
        <v>63</v>
      </c>
      <c r="B99" t="s">
        <v>59</v>
      </c>
      <c r="C99">
        <v>0.2</v>
      </c>
      <c r="D99" t="s">
        <v>45</v>
      </c>
      <c r="E99">
        <v>1</v>
      </c>
      <c r="F99">
        <v>200</v>
      </c>
      <c r="G99">
        <v>160590000</v>
      </c>
      <c r="H99">
        <v>10.00032</v>
      </c>
      <c r="I99">
        <v>4786</v>
      </c>
    </row>
    <row r="100" spans="1:9" x14ac:dyDescent="0.25">
      <c r="A100" t="s">
        <v>63</v>
      </c>
      <c r="B100" t="s">
        <v>59</v>
      </c>
      <c r="C100">
        <v>0.5</v>
      </c>
      <c r="D100" t="s">
        <v>45</v>
      </c>
      <c r="E100">
        <v>1</v>
      </c>
      <c r="F100">
        <v>200</v>
      </c>
      <c r="G100">
        <v>150820000</v>
      </c>
      <c r="H100">
        <v>10.000254</v>
      </c>
      <c r="I100">
        <v>4495</v>
      </c>
    </row>
    <row r="101" spans="1:9" x14ac:dyDescent="0.25">
      <c r="A101" t="s">
        <v>63</v>
      </c>
      <c r="B101" t="s">
        <v>59</v>
      </c>
      <c r="C101">
        <v>0.9</v>
      </c>
      <c r="D101" t="s">
        <v>45</v>
      </c>
      <c r="E101">
        <v>1</v>
      </c>
      <c r="F101">
        <v>200</v>
      </c>
      <c r="G101">
        <v>129830000</v>
      </c>
      <c r="H101">
        <v>10.000119</v>
      </c>
      <c r="I101">
        <v>3868</v>
      </c>
    </row>
    <row r="103" spans="1:9" x14ac:dyDescent="0.25">
      <c r="A103" t="s">
        <v>63</v>
      </c>
      <c r="B103" t="s">
        <v>56</v>
      </c>
      <c r="C103">
        <v>0.02</v>
      </c>
      <c r="D103" t="s">
        <v>45</v>
      </c>
      <c r="E103">
        <v>1</v>
      </c>
      <c r="F103">
        <v>100</v>
      </c>
      <c r="G103">
        <v>189160000</v>
      </c>
      <c r="H103">
        <v>10.000078999999999</v>
      </c>
      <c r="I103">
        <v>5639</v>
      </c>
    </row>
    <row r="104" spans="1:9" x14ac:dyDescent="0.25">
      <c r="A104" t="s">
        <v>63</v>
      </c>
      <c r="B104" t="s">
        <v>56</v>
      </c>
      <c r="C104">
        <v>0.05</v>
      </c>
      <c r="D104" t="s">
        <v>45</v>
      </c>
      <c r="E104">
        <v>1</v>
      </c>
      <c r="F104">
        <v>100</v>
      </c>
      <c r="G104">
        <v>192370000</v>
      </c>
      <c r="H104">
        <v>10.000458</v>
      </c>
      <c r="I104">
        <v>5735</v>
      </c>
    </row>
    <row r="105" spans="1:9" x14ac:dyDescent="0.25">
      <c r="A105" t="s">
        <v>63</v>
      </c>
      <c r="B105" t="s">
        <v>56</v>
      </c>
      <c r="C105">
        <v>0.1</v>
      </c>
      <c r="D105" t="s">
        <v>45</v>
      </c>
      <c r="E105">
        <v>1</v>
      </c>
      <c r="F105">
        <v>100</v>
      </c>
      <c r="G105">
        <v>200350000</v>
      </c>
      <c r="H105">
        <v>10.000427</v>
      </c>
      <c r="I105">
        <v>5973</v>
      </c>
    </row>
    <row r="106" spans="1:9" x14ac:dyDescent="0.25">
      <c r="A106" t="s">
        <v>63</v>
      </c>
      <c r="B106" t="s">
        <v>56</v>
      </c>
      <c r="C106">
        <v>0.2</v>
      </c>
      <c r="D106" t="s">
        <v>45</v>
      </c>
      <c r="E106">
        <v>1</v>
      </c>
      <c r="F106">
        <v>100</v>
      </c>
      <c r="G106">
        <v>189490000</v>
      </c>
      <c r="H106">
        <v>10.000145</v>
      </c>
      <c r="I106">
        <v>5649</v>
      </c>
    </row>
    <row r="107" spans="1:9" x14ac:dyDescent="0.25">
      <c r="A107" t="s">
        <v>63</v>
      </c>
      <c r="B107" t="s">
        <v>56</v>
      </c>
      <c r="C107">
        <v>0.5</v>
      </c>
      <c r="D107" t="s">
        <v>45</v>
      </c>
      <c r="E107">
        <v>1</v>
      </c>
      <c r="F107">
        <v>100</v>
      </c>
      <c r="G107">
        <v>177810000</v>
      </c>
      <c r="H107">
        <v>10.000385</v>
      </c>
      <c r="I107">
        <v>5300</v>
      </c>
    </row>
    <row r="108" spans="1:9" x14ac:dyDescent="0.25">
      <c r="A108" t="s">
        <v>63</v>
      </c>
      <c r="B108" t="s">
        <v>56</v>
      </c>
      <c r="C108">
        <v>0.9</v>
      </c>
      <c r="D108" t="s">
        <v>45</v>
      </c>
      <c r="E108">
        <v>1</v>
      </c>
      <c r="F108">
        <v>100</v>
      </c>
      <c r="G108">
        <v>145370000</v>
      </c>
      <c r="H108">
        <v>10.00027</v>
      </c>
      <c r="I108">
        <v>4332</v>
      </c>
    </row>
    <row r="110" spans="1:9" x14ac:dyDescent="0.25">
      <c r="A110" t="s">
        <v>63</v>
      </c>
      <c r="B110" t="s">
        <v>62</v>
      </c>
      <c r="C110">
        <v>0.1</v>
      </c>
      <c r="D110" t="s">
        <v>45</v>
      </c>
      <c r="E110">
        <v>1</v>
      </c>
      <c r="F110">
        <v>500</v>
      </c>
      <c r="G110">
        <v>114290000</v>
      </c>
      <c r="H110">
        <v>10.000016</v>
      </c>
      <c r="I110">
        <v>3404</v>
      </c>
    </row>
    <row r="111" spans="1:9" x14ac:dyDescent="0.25">
      <c r="A111" t="s">
        <v>63</v>
      </c>
      <c r="B111" t="s">
        <v>62</v>
      </c>
      <c r="C111">
        <v>0.2</v>
      </c>
      <c r="D111" t="s">
        <v>45</v>
      </c>
      <c r="E111">
        <v>1</v>
      </c>
      <c r="F111">
        <v>500</v>
      </c>
      <c r="G111">
        <v>112450000</v>
      </c>
      <c r="H111">
        <v>10.000064999999999</v>
      </c>
      <c r="I111">
        <v>3349</v>
      </c>
    </row>
    <row r="112" spans="1:9" x14ac:dyDescent="0.25">
      <c r="A112" t="s">
        <v>63</v>
      </c>
      <c r="B112" t="s">
        <v>62</v>
      </c>
      <c r="C112">
        <v>0.5</v>
      </c>
      <c r="D112" t="s">
        <v>45</v>
      </c>
      <c r="E112">
        <v>1</v>
      </c>
      <c r="F112">
        <v>500</v>
      </c>
      <c r="G112">
        <v>113910000</v>
      </c>
      <c r="H112">
        <v>10.000033999999999</v>
      </c>
      <c r="I112">
        <v>3393</v>
      </c>
    </row>
    <row r="114" spans="1:9" x14ac:dyDescent="0.25">
      <c r="A114" t="s">
        <v>63</v>
      </c>
      <c r="B114" t="s">
        <v>62</v>
      </c>
      <c r="C114">
        <v>0.1</v>
      </c>
      <c r="D114" t="s">
        <v>45</v>
      </c>
      <c r="E114">
        <v>1</v>
      </c>
      <c r="F114">
        <v>500</v>
      </c>
      <c r="G114">
        <v>113130000</v>
      </c>
      <c r="H114">
        <v>10.000643999999999</v>
      </c>
      <c r="I114">
        <v>3370</v>
      </c>
    </row>
    <row r="115" spans="1:9" x14ac:dyDescent="0.25">
      <c r="A115" t="s">
        <v>63</v>
      </c>
      <c r="B115" t="s">
        <v>62</v>
      </c>
      <c r="C115">
        <v>0.2</v>
      </c>
      <c r="D115" t="s">
        <v>45</v>
      </c>
      <c r="E115">
        <v>1</v>
      </c>
      <c r="F115">
        <v>500</v>
      </c>
      <c r="G115">
        <v>111380000</v>
      </c>
      <c r="H115">
        <v>10.000812</v>
      </c>
      <c r="I115">
        <v>3317</v>
      </c>
    </row>
    <row r="116" spans="1:9" x14ac:dyDescent="0.25">
      <c r="A116" t="s">
        <v>63</v>
      </c>
      <c r="B116" t="s">
        <v>62</v>
      </c>
      <c r="C116">
        <v>0.5</v>
      </c>
      <c r="D116" t="s">
        <v>45</v>
      </c>
      <c r="E116">
        <v>1</v>
      </c>
      <c r="F116">
        <v>500</v>
      </c>
      <c r="G116">
        <v>112530000</v>
      </c>
      <c r="H116">
        <v>10.000871999999999</v>
      </c>
      <c r="I116">
        <v>3352</v>
      </c>
    </row>
    <row r="118" spans="1:9" x14ac:dyDescent="0.25">
      <c r="A118" s="5" t="s">
        <v>63</v>
      </c>
      <c r="B118" s="5" t="s">
        <v>62</v>
      </c>
      <c r="C118" s="5">
        <v>0.3</v>
      </c>
      <c r="D118" s="5" t="s">
        <v>45</v>
      </c>
      <c r="E118" s="5">
        <v>1</v>
      </c>
      <c r="F118" s="5">
        <v>500</v>
      </c>
      <c r="G118" s="29">
        <v>116530000</v>
      </c>
      <c r="H118" s="34">
        <v>10.000829</v>
      </c>
      <c r="I118">
        <v>3471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E11BB-3F50-4727-BE86-52513B8B92EE}">
  <dimension ref="A1:L46"/>
  <sheetViews>
    <sheetView zoomScale="85" zoomScaleNormal="85" workbookViewId="0">
      <selection activeCell="J2" sqref="J2:J7"/>
    </sheetView>
  </sheetViews>
  <sheetFormatPr defaultRowHeight="15" x14ac:dyDescent="0.25"/>
  <cols>
    <col min="1" max="1" width="26.28515625" bestFit="1" customWidth="1"/>
    <col min="2" max="2" width="32.140625" style="5" bestFit="1" customWidth="1"/>
    <col min="3" max="3" width="18" style="5" bestFit="1" customWidth="1"/>
    <col min="4" max="4" width="18" style="5" customWidth="1"/>
    <col min="5" max="5" width="18.7109375" style="5" bestFit="1" customWidth="1"/>
    <col min="6" max="6" width="22.5703125" style="5" bestFit="1" customWidth="1"/>
    <col min="7" max="7" width="25" style="5" bestFit="1" customWidth="1"/>
    <col min="8" max="8" width="20.7109375" style="5" bestFit="1" customWidth="1"/>
    <col min="9" max="9" width="13.85546875" style="5" bestFit="1" customWidth="1"/>
    <col min="10" max="10" width="9.140625" style="20"/>
    <col min="11" max="11" width="9.140625" style="10"/>
  </cols>
  <sheetData>
    <row r="1" spans="1:12" x14ac:dyDescent="0.25">
      <c r="A1" s="11" t="s">
        <v>35</v>
      </c>
      <c r="B1" s="7" t="s">
        <v>0</v>
      </c>
      <c r="C1" s="7" t="s">
        <v>1</v>
      </c>
      <c r="D1" s="7" t="s">
        <v>67</v>
      </c>
      <c r="E1" s="7" t="s">
        <v>18</v>
      </c>
      <c r="F1" s="7" t="s">
        <v>30</v>
      </c>
      <c r="G1" s="7" t="s">
        <v>20</v>
      </c>
      <c r="H1" s="7" t="s">
        <v>21</v>
      </c>
      <c r="I1" s="7" t="s">
        <v>19</v>
      </c>
      <c r="J1" s="17" t="s">
        <v>32</v>
      </c>
      <c r="K1" s="8" t="s">
        <v>33</v>
      </c>
      <c r="L1" s="9" t="s">
        <v>34</v>
      </c>
    </row>
    <row r="2" spans="1:12" x14ac:dyDescent="0.25">
      <c r="A2" s="1" t="str">
        <f>Table2[[#This Row],[test]]</f>
        <v>perfexp-cfa-pal-ll-share-na</v>
      </c>
      <c r="B2" t="s">
        <v>66</v>
      </c>
      <c r="C2" t="s">
        <v>61</v>
      </c>
      <c r="D2">
        <v>0.02</v>
      </c>
      <c r="E2" t="s">
        <v>45</v>
      </c>
      <c r="F2">
        <v>1</v>
      </c>
      <c r="G2">
        <v>50</v>
      </c>
      <c r="H2">
        <v>255560000</v>
      </c>
      <c r="I2">
        <v>10.000211999999999</v>
      </c>
      <c r="J2" s="18">
        <f t="shared" ref="J2:J10" si="0">CONVERT(I2/H2, "s", "ns")</f>
        <v>39.130583815933633</v>
      </c>
      <c r="K2" s="12">
        <f>INDEX(Table1[op-duration], MATCH(Table2[[#This Row],[test-conformed]]&amp;"@"&amp;Table2[[#This Row],[corpus]], Table1[test@corpus], 0))</f>
        <v>39.265285848908434</v>
      </c>
      <c r="L2" s="10">
        <f>(Table2[[#This Row],[op-duration-observed]]-Table2[[#This Row],[op-duration-baseline]])/Table2[[#This Row],[op-duration-baseline]]</f>
        <v>-3.4305629021301326E-3</v>
      </c>
    </row>
    <row r="3" spans="1:12" x14ac:dyDescent="0.25">
      <c r="A3" s="1" t="str">
        <f>Table2[[#This Row],[test]]</f>
        <v>perfexp-cfa-pal-ll-share-na</v>
      </c>
      <c r="B3" t="s">
        <v>66</v>
      </c>
      <c r="C3" t="s">
        <v>61</v>
      </c>
      <c r="D3">
        <v>0.05</v>
      </c>
      <c r="E3" t="s">
        <v>45</v>
      </c>
      <c r="F3">
        <v>1</v>
      </c>
      <c r="G3">
        <v>50</v>
      </c>
      <c r="H3">
        <v>255480000</v>
      </c>
      <c r="I3">
        <v>10.000351</v>
      </c>
      <c r="J3" s="18">
        <f t="shared" si="0"/>
        <v>39.143381086582117</v>
      </c>
      <c r="K3" s="12">
        <f>INDEX(Table1[op-duration], MATCH(Table2[[#This Row],[test-conformed]]&amp;"@"&amp;Table2[[#This Row],[corpus]], Table1[test@corpus], 0))</f>
        <v>39.265285848908434</v>
      </c>
      <c r="L3" s="10">
        <f>(Table2[[#This Row],[op-duration-observed]]-Table2[[#This Row],[op-duration-baseline]])/Table2[[#This Row],[op-duration-baseline]]</f>
        <v>-3.1046447183754669E-3</v>
      </c>
    </row>
    <row r="4" spans="1:12" x14ac:dyDescent="0.25">
      <c r="A4" s="1" t="str">
        <f>Table2[[#This Row],[test]]</f>
        <v>perfexp-cfa-pal-ll-share-na</v>
      </c>
      <c r="B4" t="s">
        <v>66</v>
      </c>
      <c r="C4" t="s">
        <v>61</v>
      </c>
      <c r="D4">
        <v>0.1</v>
      </c>
      <c r="E4" t="s">
        <v>45</v>
      </c>
      <c r="F4">
        <v>1</v>
      </c>
      <c r="G4">
        <v>50</v>
      </c>
      <c r="H4">
        <v>250860000</v>
      </c>
      <c r="I4">
        <v>10.000109999999999</v>
      </c>
      <c r="J4" s="18">
        <f t="shared" si="0"/>
        <v>39.863310212867738</v>
      </c>
      <c r="K4" s="12">
        <f>INDEX(Table1[op-duration], MATCH(Table2[[#This Row],[test-conformed]]&amp;"@"&amp;Table2[[#This Row],[corpus]], Table1[test@corpus], 0))</f>
        <v>39.265285848908434</v>
      </c>
      <c r="L4" s="10">
        <f>(Table2[[#This Row],[op-duration-observed]]-Table2[[#This Row],[op-duration-baseline]])/Table2[[#This Row],[op-duration-baseline]]</f>
        <v>1.5230358089343416E-2</v>
      </c>
    </row>
    <row r="5" spans="1:12" x14ac:dyDescent="0.25">
      <c r="A5" s="1" t="str">
        <f>Table2[[#This Row],[test]]</f>
        <v>perfexp-cfa-pal-ll-share-na</v>
      </c>
      <c r="B5" t="s">
        <v>66</v>
      </c>
      <c r="C5" t="s">
        <v>61</v>
      </c>
      <c r="D5">
        <v>0.2</v>
      </c>
      <c r="E5" t="s">
        <v>45</v>
      </c>
      <c r="F5">
        <v>1</v>
      </c>
      <c r="G5">
        <v>50</v>
      </c>
      <c r="H5">
        <v>241010000</v>
      </c>
      <c r="I5">
        <v>10.000322000000001</v>
      </c>
      <c r="J5" s="18">
        <f t="shared" si="0"/>
        <v>41.493390315754539</v>
      </c>
      <c r="K5" s="12">
        <f>INDEX(Table1[op-duration], MATCH(Table2[[#This Row],[test-conformed]]&amp;"@"&amp;Table2[[#This Row],[corpus]], Table1[test@corpus], 0))</f>
        <v>39.265285848908434</v>
      </c>
      <c r="L5" s="10">
        <f>(Table2[[#This Row],[op-duration-observed]]-Table2[[#This Row],[op-duration-baseline]])/Table2[[#This Row],[op-duration-baseline]]</f>
        <v>5.6744893579019899E-2</v>
      </c>
    </row>
    <row r="6" spans="1:12" x14ac:dyDescent="0.25">
      <c r="A6" s="1" t="str">
        <f>Table2[[#This Row],[test]]</f>
        <v>perfexp-cfa-pal-ll-share-na</v>
      </c>
      <c r="B6" t="s">
        <v>66</v>
      </c>
      <c r="C6" t="s">
        <v>61</v>
      </c>
      <c r="D6">
        <v>0.5</v>
      </c>
      <c r="E6" t="s">
        <v>45</v>
      </c>
      <c r="F6">
        <v>1</v>
      </c>
      <c r="G6">
        <v>50</v>
      </c>
      <c r="H6">
        <v>227910000</v>
      </c>
      <c r="I6">
        <v>10.000045999999999</v>
      </c>
      <c r="J6" s="18">
        <f t="shared" si="0"/>
        <v>43.87717081304023</v>
      </c>
      <c r="K6" s="12">
        <f>INDEX(Table1[op-duration], MATCH(Table2[[#This Row],[test-conformed]]&amp;"@"&amp;Table2[[#This Row],[corpus]], Table1[test@corpus], 0))</f>
        <v>39.265285848908434</v>
      </c>
      <c r="L6" s="10">
        <f>(Table2[[#This Row],[op-duration-observed]]-Table2[[#This Row],[op-duration-baseline]])/Table2[[#This Row],[op-duration-baseline]]</f>
        <v>0.11745451139406403</v>
      </c>
    </row>
    <row r="7" spans="1:12" x14ac:dyDescent="0.25">
      <c r="A7" s="1" t="str">
        <f>Table2[[#This Row],[test]]</f>
        <v>perfexp-cfa-pal-ll-share-na</v>
      </c>
      <c r="B7" t="s">
        <v>66</v>
      </c>
      <c r="C7" t="s">
        <v>61</v>
      </c>
      <c r="D7">
        <v>0.9</v>
      </c>
      <c r="E7" t="s">
        <v>45</v>
      </c>
      <c r="F7">
        <v>1</v>
      </c>
      <c r="G7">
        <v>50</v>
      </c>
      <c r="H7">
        <v>179790000</v>
      </c>
      <c r="I7">
        <v>10.000095999999999</v>
      </c>
      <c r="J7" s="18">
        <f t="shared" si="0"/>
        <v>55.620980032259851</v>
      </c>
      <c r="K7" s="12">
        <f>INDEX(Table1[op-duration], MATCH(Table2[[#This Row],[test-conformed]]&amp;"@"&amp;Table2[[#This Row],[corpus]], Table1[test@corpus], 0))</f>
        <v>39.265285848908434</v>
      </c>
      <c r="L7" s="10">
        <f>(Table2[[#This Row],[op-duration-observed]]-Table2[[#This Row],[op-duration-baseline]])/Table2[[#This Row],[op-duration-baseline]]</f>
        <v>0.41654336215168802</v>
      </c>
    </row>
    <row r="8" spans="1:12" x14ac:dyDescent="0.25">
      <c r="A8" s="1" t="str">
        <f>Table2[[#This Row],[test]]</f>
        <v>perfexp-cfa-ll-peq-noshare-fresh</v>
      </c>
      <c r="B8" s="5" t="s">
        <v>36</v>
      </c>
      <c r="C8" s="5" t="s">
        <v>29</v>
      </c>
      <c r="E8" s="5">
        <v>100</v>
      </c>
      <c r="F8" s="5">
        <v>100</v>
      </c>
      <c r="G8" s="5">
        <v>5.27</v>
      </c>
      <c r="H8" s="5">
        <v>359040000</v>
      </c>
      <c r="I8" s="21">
        <v>10.000256</v>
      </c>
      <c r="J8" s="18">
        <f t="shared" si="0"/>
        <v>27.852762923351161</v>
      </c>
      <c r="K8" s="12" t="e">
        <f>INDEX(Table1[op-duration], MATCH(Table2[[#This Row],[test-conformed]]&amp;"@"&amp;Table2[[#This Row],[corpus]], Table1[test@corpus], 0))</f>
        <v>#N/A</v>
      </c>
      <c r="L8" s="10" t="e">
        <f>(Table2[[#This Row],[op-duration-observed]]-Table2[[#This Row],[op-duration-baseline]])/Table2[[#This Row],[op-duration-baseline]]</f>
        <v>#N/A</v>
      </c>
    </row>
    <row r="9" spans="1:12" x14ac:dyDescent="0.25">
      <c r="A9" s="1" t="str">
        <f>Table2[[#This Row],[test]]</f>
        <v>perfexp-cfa-ll-peq-noshare-fresh</v>
      </c>
      <c r="B9" s="5" t="s">
        <v>36</v>
      </c>
      <c r="C9" s="5" t="s">
        <v>42</v>
      </c>
      <c r="E9" s="5">
        <v>100</v>
      </c>
      <c r="F9" s="5">
        <v>100</v>
      </c>
      <c r="G9" s="5">
        <v>43.32</v>
      </c>
      <c r="H9" s="5">
        <v>273860000</v>
      </c>
      <c r="I9" s="21">
        <v>10.000334000000001</v>
      </c>
      <c r="J9" s="18">
        <f t="shared" si="0"/>
        <v>36.516227269407729</v>
      </c>
      <c r="K9" s="12" t="e">
        <f>INDEX(Table1[op-duration], MATCH(Table2[[#This Row],[test-conformed]]&amp;"@"&amp;Table2[[#This Row],[corpus]], Table1[test@corpus], 0))</f>
        <v>#N/A</v>
      </c>
      <c r="L9" s="10" t="e">
        <f>(Table2[[#This Row],[op-duration-observed]]-Table2[[#This Row],[op-duration-baseline]])/Table2[[#This Row],[op-duration-baseline]]</f>
        <v>#N/A</v>
      </c>
    </row>
    <row r="10" spans="1:12" x14ac:dyDescent="0.25">
      <c r="A10" s="13" t="str">
        <f>Table2[[#This Row],[test]]</f>
        <v>perfexp-cfa-ll-peq-noshare-fresh</v>
      </c>
      <c r="B10" s="14" t="s">
        <v>36</v>
      </c>
      <c r="C10" s="14" t="s">
        <v>44</v>
      </c>
      <c r="D10" s="14"/>
      <c r="E10" s="14">
        <v>100</v>
      </c>
      <c r="F10" s="14">
        <v>100</v>
      </c>
      <c r="G10" s="14">
        <v>557.26</v>
      </c>
      <c r="H10" s="14">
        <v>88000000</v>
      </c>
      <c r="I10" s="22">
        <v>10.000686999999999</v>
      </c>
      <c r="J10" s="19">
        <f t="shared" si="0"/>
        <v>113.64417045454545</v>
      </c>
      <c r="K10" s="15" t="e">
        <f>INDEX(Table1[op-duration], MATCH(Table2[[#This Row],[test-conformed]]&amp;"@"&amp;Table2[[#This Row],[corpus]], Table1[test@corpus], 0))</f>
        <v>#N/A</v>
      </c>
      <c r="L10" s="16" t="e">
        <f>(Table2[[#This Row],[op-duration-observed]]-Table2[[#This Row],[op-duration-baseline]])/Table2[[#This Row],[op-duration-baseline]]</f>
        <v>#N/A</v>
      </c>
    </row>
    <row r="11" spans="1:12" x14ac:dyDescent="0.25">
      <c r="A11" s="1" t="str">
        <f>Table2[[#This Row],[test]]</f>
        <v>perfexp-stl-peq-fresh</v>
      </c>
      <c r="B11" s="5" t="s">
        <v>37</v>
      </c>
      <c r="C11" s="5" t="s">
        <v>25</v>
      </c>
      <c r="E11" s="5">
        <v>100</v>
      </c>
      <c r="F11" s="5">
        <v>100</v>
      </c>
      <c r="G11" s="5">
        <v>1</v>
      </c>
      <c r="H11" s="5">
        <v>738650000</v>
      </c>
      <c r="I11" s="21">
        <v>10.000090999999999</v>
      </c>
      <c r="J11" s="18">
        <f t="shared" ref="J11:J19" si="1">CONVERT(I11/H11, "s", "ns")</f>
        <v>13.538334799972922</v>
      </c>
      <c r="K11" s="12" t="e">
        <f>INDEX(Table1[op-duration], MATCH(Table2[[#This Row],[test-conformed]]&amp;"@"&amp;Table2[[#This Row],[corpus]], Table1[test@corpus], 0))</f>
        <v>#N/A</v>
      </c>
      <c r="L11" s="10" t="e">
        <f>(Table2[[#This Row],[op-duration-observed]]-Table2[[#This Row],[op-duration-baseline]])/Table2[[#This Row],[op-duration-baseline]]</f>
        <v>#N/A</v>
      </c>
    </row>
    <row r="12" spans="1:12" x14ac:dyDescent="0.25">
      <c r="A12" s="1" t="str">
        <f>Table2[[#This Row],[test]]</f>
        <v>perfexp-stl-peq-fresh</v>
      </c>
      <c r="B12" s="5" t="s">
        <v>37</v>
      </c>
      <c r="C12" s="5" t="s">
        <v>26</v>
      </c>
      <c r="E12" s="5">
        <v>100</v>
      </c>
      <c r="F12" s="5">
        <v>100</v>
      </c>
      <c r="G12" s="5">
        <v>9.5</v>
      </c>
      <c r="H12" s="5">
        <v>396040000</v>
      </c>
      <c r="I12" s="21">
        <v>10.000026</v>
      </c>
      <c r="J12" s="18">
        <f t="shared" si="1"/>
        <v>25.250040399959602</v>
      </c>
      <c r="K12" s="12" t="e">
        <f>INDEX(Table1[op-duration], MATCH(Table2[[#This Row],[test-conformed]]&amp;"@"&amp;Table2[[#This Row],[corpus]], Table1[test@corpus], 0))</f>
        <v>#N/A</v>
      </c>
      <c r="L12" s="10" t="e">
        <f>(Table2[[#This Row],[op-duration-observed]]-Table2[[#This Row],[op-duration-baseline]])/Table2[[#This Row],[op-duration-baseline]]</f>
        <v>#N/A</v>
      </c>
    </row>
    <row r="13" spans="1:12" x14ac:dyDescent="0.25">
      <c r="A13" s="1" t="str">
        <f>Table2[[#This Row],[test]]</f>
        <v>perfexp-stl-peq-fresh</v>
      </c>
      <c r="B13" s="5" t="s">
        <v>37</v>
      </c>
      <c r="C13" s="5" t="s">
        <v>41</v>
      </c>
      <c r="E13" s="5">
        <v>100</v>
      </c>
      <c r="F13" s="5">
        <v>100</v>
      </c>
      <c r="G13" s="5">
        <v>106.37</v>
      </c>
      <c r="H13" s="5">
        <v>209930000</v>
      </c>
      <c r="I13" s="21">
        <v>10.000064</v>
      </c>
      <c r="J13" s="18">
        <f t="shared" si="1"/>
        <v>47.635230791216117</v>
      </c>
      <c r="K13" s="12" t="e">
        <f>INDEX(Table1[op-duration], MATCH(Table2[[#This Row],[test-conformed]]&amp;"@"&amp;Table2[[#This Row],[corpus]], Table1[test@corpus], 0))</f>
        <v>#N/A</v>
      </c>
      <c r="L13" s="10" t="e">
        <f>(Table2[[#This Row],[op-duration-observed]]-Table2[[#This Row],[op-duration-baseline]])/Table2[[#This Row],[op-duration-baseline]]</f>
        <v>#N/A</v>
      </c>
    </row>
    <row r="14" spans="1:12" x14ac:dyDescent="0.25">
      <c r="A14" s="1" t="str">
        <f>Table2[[#This Row],[test]]</f>
        <v>perfexp-stl-peq-fresh</v>
      </c>
      <c r="B14" s="5" t="s">
        <v>37</v>
      </c>
      <c r="C14" s="5" t="s">
        <v>27</v>
      </c>
      <c r="E14" s="5">
        <v>100</v>
      </c>
      <c r="F14" s="5">
        <v>100</v>
      </c>
      <c r="G14" s="5">
        <v>2.0299999999999998</v>
      </c>
      <c r="H14" s="5">
        <v>517500000</v>
      </c>
      <c r="I14" s="21">
        <v>10.000142</v>
      </c>
      <c r="J14" s="18">
        <f t="shared" si="1"/>
        <v>19.323945893719806</v>
      </c>
      <c r="K14" s="12" t="e">
        <f>INDEX(Table1[op-duration], MATCH(Table2[[#This Row],[test-conformed]]&amp;"@"&amp;Table2[[#This Row],[corpus]], Table1[test@corpus], 0))</f>
        <v>#N/A</v>
      </c>
      <c r="L14" s="10" t="e">
        <f>(Table2[[#This Row],[op-duration-observed]]-Table2[[#This Row],[op-duration-baseline]])/Table2[[#This Row],[op-duration-baseline]]</f>
        <v>#N/A</v>
      </c>
    </row>
    <row r="15" spans="1:12" x14ac:dyDescent="0.25">
      <c r="A15" s="1" t="str">
        <f>Table2[[#This Row],[test]]</f>
        <v>perfexp-stl-peq-fresh</v>
      </c>
      <c r="B15" s="5" t="s">
        <v>37</v>
      </c>
      <c r="C15" s="5" t="s">
        <v>28</v>
      </c>
      <c r="E15" s="5">
        <v>100</v>
      </c>
      <c r="F15" s="5">
        <v>100</v>
      </c>
      <c r="G15" s="5">
        <v>22.96</v>
      </c>
      <c r="H15" s="5">
        <v>357220000</v>
      </c>
      <c r="I15" s="21">
        <v>10.000144000000001</v>
      </c>
      <c r="J15" s="18">
        <f t="shared" si="1"/>
        <v>27.994356419013496</v>
      </c>
      <c r="K15" s="12" t="e">
        <f>INDEX(Table1[op-duration], MATCH(Table2[[#This Row],[test-conformed]]&amp;"@"&amp;Table2[[#This Row],[corpus]], Table1[test@corpus], 0))</f>
        <v>#N/A</v>
      </c>
      <c r="L15" s="10" t="e">
        <f>(Table2[[#This Row],[op-duration-observed]]-Table2[[#This Row],[op-duration-baseline]])/Table2[[#This Row],[op-duration-baseline]]</f>
        <v>#N/A</v>
      </c>
    </row>
    <row r="16" spans="1:12" x14ac:dyDescent="0.25">
      <c r="A16" s="1" t="str">
        <f>Table2[[#This Row],[test]]</f>
        <v>perfexp-stl-peq-fresh</v>
      </c>
      <c r="B16" s="5" t="s">
        <v>37</v>
      </c>
      <c r="C16" s="5" t="s">
        <v>43</v>
      </c>
      <c r="E16" s="5">
        <v>100</v>
      </c>
      <c r="F16" s="5">
        <v>100</v>
      </c>
      <c r="G16" s="5">
        <v>177.28</v>
      </c>
      <c r="H16" s="5">
        <v>173120000</v>
      </c>
      <c r="I16" s="21">
        <v>10.000073</v>
      </c>
      <c r="J16" s="18">
        <f t="shared" si="1"/>
        <v>57.763822781885402</v>
      </c>
      <c r="K16" s="12" t="e">
        <f>INDEX(Table1[op-duration], MATCH(Table2[[#This Row],[test-conformed]]&amp;"@"&amp;Table2[[#This Row],[corpus]], Table1[test@corpus], 0))</f>
        <v>#N/A</v>
      </c>
      <c r="L16" s="10" t="e">
        <f>(Table2[[#This Row],[op-duration-observed]]-Table2[[#This Row],[op-duration-baseline]])/Table2[[#This Row],[op-duration-baseline]]</f>
        <v>#N/A</v>
      </c>
    </row>
    <row r="17" spans="1:12" x14ac:dyDescent="0.25">
      <c r="A17" s="1" t="str">
        <f>Table2[[#This Row],[test]]</f>
        <v>perfexp-stl-peq-fresh</v>
      </c>
      <c r="B17" s="5" t="s">
        <v>37</v>
      </c>
      <c r="C17" s="5" t="s">
        <v>29</v>
      </c>
      <c r="E17" s="5">
        <v>100</v>
      </c>
      <c r="F17" s="5">
        <v>100</v>
      </c>
      <c r="G17" s="5">
        <v>5.27</v>
      </c>
      <c r="H17" s="5">
        <v>410790000</v>
      </c>
      <c r="I17" s="21">
        <v>10.000169</v>
      </c>
      <c r="J17" s="18">
        <f t="shared" si="1"/>
        <v>24.343749847854134</v>
      </c>
      <c r="K17" s="12" t="e">
        <f>INDEX(Table1[op-duration], MATCH(Table2[[#This Row],[test-conformed]]&amp;"@"&amp;Table2[[#This Row],[corpus]], Table1[test@corpus], 0))</f>
        <v>#N/A</v>
      </c>
      <c r="L17" s="10" t="e">
        <f>(Table2[[#This Row],[op-duration-observed]]-Table2[[#This Row],[op-duration-baseline]])/Table2[[#This Row],[op-duration-baseline]]</f>
        <v>#N/A</v>
      </c>
    </row>
    <row r="18" spans="1:12" x14ac:dyDescent="0.25">
      <c r="A18" s="1" t="str">
        <f>Table2[[#This Row],[test]]</f>
        <v>perfexp-stl-peq-fresh</v>
      </c>
      <c r="B18" s="5" t="s">
        <v>37</v>
      </c>
      <c r="C18" s="5" t="s">
        <v>42</v>
      </c>
      <c r="E18" s="5">
        <v>100</v>
      </c>
      <c r="F18" s="5">
        <v>100</v>
      </c>
      <c r="G18" s="5">
        <v>43.32</v>
      </c>
      <c r="H18" s="5">
        <v>290830000</v>
      </c>
      <c r="I18" s="21">
        <v>10.000328</v>
      </c>
      <c r="J18" s="18">
        <f t="shared" si="1"/>
        <v>34.385476051301445</v>
      </c>
      <c r="K18" s="12" t="e">
        <f>INDEX(Table1[op-duration], MATCH(Table2[[#This Row],[test-conformed]]&amp;"@"&amp;Table2[[#This Row],[corpus]], Table1[test@corpus], 0))</f>
        <v>#N/A</v>
      </c>
      <c r="L18" s="10" t="e">
        <f>(Table2[[#This Row],[op-duration-observed]]-Table2[[#This Row],[op-duration-baseline]])/Table2[[#This Row],[op-duration-baseline]]</f>
        <v>#N/A</v>
      </c>
    </row>
    <row r="19" spans="1:12" x14ac:dyDescent="0.25">
      <c r="A19" s="1" t="str">
        <f>Table2[[#This Row],[test]]</f>
        <v>perfexp-stl-peq-fresh</v>
      </c>
      <c r="B19" s="5" t="s">
        <v>37</v>
      </c>
      <c r="C19" s="5" t="s">
        <v>44</v>
      </c>
      <c r="E19" s="5">
        <v>100</v>
      </c>
      <c r="F19" s="5">
        <v>100</v>
      </c>
      <c r="G19" s="5">
        <v>557.26</v>
      </c>
      <c r="H19" s="5">
        <v>91080000</v>
      </c>
      <c r="I19" s="21">
        <v>10.000546</v>
      </c>
      <c r="J19" s="18">
        <f t="shared" si="1"/>
        <v>109.7995827843654</v>
      </c>
      <c r="K19" s="12" t="e">
        <f>INDEX(Table1[op-duration], MATCH(Table2[[#This Row],[test-conformed]]&amp;"@"&amp;Table2[[#This Row],[corpus]], Table1[test@corpus], 0))</f>
        <v>#N/A</v>
      </c>
      <c r="L19" s="10" t="e">
        <f>(Table2[[#This Row],[op-duration-observed]]-Table2[[#This Row],[op-duration-baseline]])/Table2[[#This Row],[op-duration-baseline]]</f>
        <v>#N/A</v>
      </c>
    </row>
    <row r="20" spans="1:12" x14ac:dyDescent="0.25">
      <c r="A20" s="1" t="str">
        <f>Table2[[#This Row],[test]]</f>
        <v>perfexp-cfa-ll-peq-noshare-fresh</v>
      </c>
      <c r="B20" s="5" t="s">
        <v>36</v>
      </c>
      <c r="C20" s="5" t="s">
        <v>25</v>
      </c>
      <c r="E20" s="5">
        <v>100</v>
      </c>
      <c r="F20" s="5">
        <v>100</v>
      </c>
      <c r="G20" s="5">
        <v>1</v>
      </c>
      <c r="H20" s="5">
        <v>442780000</v>
      </c>
      <c r="I20" s="21">
        <v>10.00005</v>
      </c>
      <c r="J20" s="18">
        <f t="shared" ref="J20:J37" si="2">CONVERT(I20/H20, "s", "ns")</f>
        <v>22.584692172184834</v>
      </c>
      <c r="K20" s="12" t="e">
        <f>INDEX(Table1[op-duration], MATCH(Table2[[#This Row],[test-conformed]]&amp;"@"&amp;Table2[[#This Row],[corpus]], Table1[test@corpus], 0))</f>
        <v>#N/A</v>
      </c>
      <c r="L20" s="10" t="e">
        <f>(Table2[[#This Row],[op-duration-observed]]-Table2[[#This Row],[op-duration-baseline]])/Table2[[#This Row],[op-duration-baseline]]</f>
        <v>#N/A</v>
      </c>
    </row>
    <row r="21" spans="1:12" x14ac:dyDescent="0.25">
      <c r="A21" s="1" t="str">
        <f>Table2[[#This Row],[test]]</f>
        <v>perfexp-cfa-ll-peq-noshare-fresh</v>
      </c>
      <c r="B21" s="5" t="s">
        <v>36</v>
      </c>
      <c r="C21" s="5" t="s">
        <v>26</v>
      </c>
      <c r="E21" s="5">
        <v>100</v>
      </c>
      <c r="F21" s="5">
        <v>100</v>
      </c>
      <c r="G21" s="5">
        <v>9.5</v>
      </c>
      <c r="H21" s="5">
        <v>348470000</v>
      </c>
      <c r="I21" s="21">
        <v>10.000159999999999</v>
      </c>
      <c r="J21" s="18">
        <f t="shared" si="2"/>
        <v>28.697334060320827</v>
      </c>
      <c r="K21" s="12" t="e">
        <f>INDEX(Table1[op-duration], MATCH(Table2[[#This Row],[test-conformed]]&amp;"@"&amp;Table2[[#This Row],[corpus]], Table1[test@corpus], 0))</f>
        <v>#N/A</v>
      </c>
      <c r="L21" s="10" t="e">
        <f>(Table2[[#This Row],[op-duration-observed]]-Table2[[#This Row],[op-duration-baseline]])/Table2[[#This Row],[op-duration-baseline]]</f>
        <v>#N/A</v>
      </c>
    </row>
    <row r="22" spans="1:12" x14ac:dyDescent="0.25">
      <c r="A22" s="1" t="str">
        <f>Table2[[#This Row],[test]]</f>
        <v>perfexp-cfa-ll-peq-noshare-fresh</v>
      </c>
      <c r="B22" s="5" t="s">
        <v>36</v>
      </c>
      <c r="C22" s="5" t="s">
        <v>41</v>
      </c>
      <c r="E22" s="5">
        <v>100</v>
      </c>
      <c r="F22" s="5">
        <v>100</v>
      </c>
      <c r="G22" s="5">
        <v>106.37</v>
      </c>
      <c r="H22" s="5">
        <v>197140000</v>
      </c>
      <c r="I22" s="21">
        <v>10.000188</v>
      </c>
      <c r="J22" s="18">
        <f t="shared" si="2"/>
        <v>50.726326468499536</v>
      </c>
      <c r="K22" s="12" t="e">
        <f>INDEX(Table1[op-duration], MATCH(Table2[[#This Row],[test-conformed]]&amp;"@"&amp;Table2[[#This Row],[corpus]], Table1[test@corpus], 0))</f>
        <v>#N/A</v>
      </c>
      <c r="L22" s="10" t="e">
        <f>(Table2[[#This Row],[op-duration-observed]]-Table2[[#This Row],[op-duration-baseline]])/Table2[[#This Row],[op-duration-baseline]]</f>
        <v>#N/A</v>
      </c>
    </row>
    <row r="23" spans="1:12" x14ac:dyDescent="0.25">
      <c r="A23" s="1" t="str">
        <f>Table2[[#This Row],[test]]</f>
        <v>perfexp-cfa-ll-peq-noshare-fresh</v>
      </c>
      <c r="B23" s="5" t="s">
        <v>36</v>
      </c>
      <c r="C23" s="5" t="s">
        <v>27</v>
      </c>
      <c r="E23" s="5">
        <v>100</v>
      </c>
      <c r="F23" s="5">
        <v>100</v>
      </c>
      <c r="G23" s="5">
        <v>2.0299999999999998</v>
      </c>
      <c r="H23" s="5">
        <v>373940000</v>
      </c>
      <c r="I23" s="21">
        <v>10.000036</v>
      </c>
      <c r="J23" s="18">
        <f t="shared" si="2"/>
        <v>26.742354388404554</v>
      </c>
      <c r="K23" s="12" t="e">
        <f>INDEX(Table1[op-duration], MATCH(Table2[[#This Row],[test-conformed]]&amp;"@"&amp;Table2[[#This Row],[corpus]], Table1[test@corpus], 0))</f>
        <v>#N/A</v>
      </c>
      <c r="L23" s="10" t="e">
        <f>(Table2[[#This Row],[op-duration-observed]]-Table2[[#This Row],[op-duration-baseline]])/Table2[[#This Row],[op-duration-baseline]]</f>
        <v>#N/A</v>
      </c>
    </row>
    <row r="24" spans="1:12" x14ac:dyDescent="0.25">
      <c r="A24" s="1" t="str">
        <f>Table2[[#This Row],[test]]</f>
        <v>perfexp-cfa-ll-peq-noshare-fresh</v>
      </c>
      <c r="B24" s="5" t="s">
        <v>36</v>
      </c>
      <c r="C24" s="5" t="s">
        <v>28</v>
      </c>
      <c r="E24" s="5">
        <v>100</v>
      </c>
      <c r="F24" s="5">
        <v>100</v>
      </c>
      <c r="G24" s="5">
        <v>22.96</v>
      </c>
      <c r="H24" s="5">
        <v>317990000</v>
      </c>
      <c r="I24" s="21">
        <v>10.000116999999999</v>
      </c>
      <c r="J24" s="18">
        <f t="shared" si="2"/>
        <v>31.447897732633102</v>
      </c>
      <c r="K24" s="12" t="e">
        <f>INDEX(Table1[op-duration], MATCH(Table2[[#This Row],[test-conformed]]&amp;"@"&amp;Table2[[#This Row],[corpus]], Table1[test@corpus], 0))</f>
        <v>#N/A</v>
      </c>
      <c r="L24" s="10" t="e">
        <f>(Table2[[#This Row],[op-duration-observed]]-Table2[[#This Row],[op-duration-baseline]])/Table2[[#This Row],[op-duration-baseline]]</f>
        <v>#N/A</v>
      </c>
    </row>
    <row r="25" spans="1:12" x14ac:dyDescent="0.25">
      <c r="A25" s="1" t="str">
        <f>Table2[[#This Row],[test]]</f>
        <v>perfexp-cfa-ll-peq-noshare-fresh</v>
      </c>
      <c r="B25" s="5" t="s">
        <v>36</v>
      </c>
      <c r="C25" s="5" t="s">
        <v>43</v>
      </c>
      <c r="E25" s="5">
        <v>100</v>
      </c>
      <c r="F25" s="5">
        <v>100</v>
      </c>
      <c r="G25" s="5">
        <v>177.28</v>
      </c>
      <c r="H25" s="5">
        <v>161380000</v>
      </c>
      <c r="I25" s="21">
        <v>10.000423</v>
      </c>
      <c r="J25" s="18">
        <f t="shared" si="2"/>
        <v>61.968168298426072</v>
      </c>
      <c r="K25" s="12" t="e">
        <f>INDEX(Table1[op-duration], MATCH(Table2[[#This Row],[test-conformed]]&amp;"@"&amp;Table2[[#This Row],[corpus]], Table1[test@corpus], 0))</f>
        <v>#N/A</v>
      </c>
      <c r="L25" s="10" t="e">
        <f>(Table2[[#This Row],[op-duration-observed]]-Table2[[#This Row],[op-duration-baseline]])/Table2[[#This Row],[op-duration-baseline]]</f>
        <v>#N/A</v>
      </c>
    </row>
    <row r="26" spans="1:12" x14ac:dyDescent="0.25">
      <c r="A26" s="1" t="str">
        <f>Table2[[#This Row],[test]]</f>
        <v>perfexp-cfa-ll-peq-noshare-fresh</v>
      </c>
      <c r="B26" s="5" t="s">
        <v>36</v>
      </c>
      <c r="C26" s="5" t="s">
        <v>29</v>
      </c>
      <c r="E26" s="5">
        <v>100</v>
      </c>
      <c r="F26" s="5">
        <v>100</v>
      </c>
      <c r="G26" s="5">
        <v>5.27</v>
      </c>
      <c r="H26" s="5">
        <v>358700000</v>
      </c>
      <c r="I26" s="21">
        <v>10.000246000000001</v>
      </c>
      <c r="J26" s="18">
        <f t="shared" si="2"/>
        <v>27.879135768051299</v>
      </c>
      <c r="K26" s="12" t="e">
        <f>INDEX(Table1[op-duration], MATCH(Table2[[#This Row],[test-conformed]]&amp;"@"&amp;Table2[[#This Row],[corpus]], Table1[test@corpus], 0))</f>
        <v>#N/A</v>
      </c>
      <c r="L26" s="10" t="e">
        <f>(Table2[[#This Row],[op-duration-observed]]-Table2[[#This Row],[op-duration-baseline]])/Table2[[#This Row],[op-duration-baseline]]</f>
        <v>#N/A</v>
      </c>
    </row>
    <row r="27" spans="1:12" x14ac:dyDescent="0.25">
      <c r="A27" s="1" t="str">
        <f>Table2[[#This Row],[test]]</f>
        <v>perfexp-cfa-ll-peq-noshare-fresh</v>
      </c>
      <c r="B27" s="5" t="s">
        <v>36</v>
      </c>
      <c r="C27" s="5" t="s">
        <v>42</v>
      </c>
      <c r="E27" s="5">
        <v>100</v>
      </c>
      <c r="F27" s="5">
        <v>100</v>
      </c>
      <c r="G27" s="5">
        <v>43.32</v>
      </c>
      <c r="H27" s="5">
        <v>271830000</v>
      </c>
      <c r="I27" s="21">
        <v>10.000154</v>
      </c>
      <c r="J27" s="18">
        <f t="shared" si="2"/>
        <v>36.788264724276203</v>
      </c>
      <c r="K27" s="12" t="e">
        <f>INDEX(Table1[op-duration], MATCH(Table2[[#This Row],[test-conformed]]&amp;"@"&amp;Table2[[#This Row],[corpus]], Table1[test@corpus], 0))</f>
        <v>#N/A</v>
      </c>
      <c r="L27" s="10" t="e">
        <f>(Table2[[#This Row],[op-duration-observed]]-Table2[[#This Row],[op-duration-baseline]])/Table2[[#This Row],[op-duration-baseline]]</f>
        <v>#N/A</v>
      </c>
    </row>
    <row r="28" spans="1:12" x14ac:dyDescent="0.25">
      <c r="A28" s="1" t="str">
        <f>Table2[[#This Row],[test]]</f>
        <v>perfexp-cfa-ll-peq-noshare-fresh</v>
      </c>
      <c r="B28" s="5" t="s">
        <v>36</v>
      </c>
      <c r="C28" s="5" t="s">
        <v>44</v>
      </c>
      <c r="E28" s="5">
        <v>100</v>
      </c>
      <c r="F28" s="5">
        <v>100</v>
      </c>
      <c r="G28" s="5">
        <v>557.26</v>
      </c>
      <c r="H28" s="5">
        <v>88600000</v>
      </c>
      <c r="I28" s="21">
        <v>10.000387</v>
      </c>
      <c r="J28" s="18">
        <f t="shared" si="2"/>
        <v>112.87118510158014</v>
      </c>
      <c r="K28" s="12" t="e">
        <f>INDEX(Table1[op-duration], MATCH(Table2[[#This Row],[test-conformed]]&amp;"@"&amp;Table2[[#This Row],[corpus]], Table1[test@corpus], 0))</f>
        <v>#N/A</v>
      </c>
      <c r="L28" s="10" t="e">
        <f>(Table2[[#This Row],[op-duration-observed]]-Table2[[#This Row],[op-duration-baseline]])/Table2[[#This Row],[op-duration-baseline]]</f>
        <v>#N/A</v>
      </c>
    </row>
    <row r="29" spans="1:12" x14ac:dyDescent="0.25">
      <c r="A29" s="1" t="str">
        <f>Table2[[#This Row],[test]]</f>
        <v>perfexp-stl-peq-fresh</v>
      </c>
      <c r="B29" s="5" t="s">
        <v>37</v>
      </c>
      <c r="C29" s="5" t="s">
        <v>25</v>
      </c>
      <c r="E29" s="5">
        <v>100</v>
      </c>
      <c r="F29" s="5">
        <v>100</v>
      </c>
      <c r="G29" s="5">
        <v>1</v>
      </c>
      <c r="H29" s="5">
        <v>737560000</v>
      </c>
      <c r="I29" s="21">
        <v>10.000026</v>
      </c>
      <c r="J29" s="18">
        <f t="shared" si="2"/>
        <v>13.558254243722544</v>
      </c>
      <c r="K29" s="12" t="e">
        <f>INDEX(Table1[op-duration], MATCH(Table2[[#This Row],[test-conformed]]&amp;"@"&amp;Table2[[#This Row],[corpus]], Table1[test@corpus], 0))</f>
        <v>#N/A</v>
      </c>
      <c r="L29" s="10" t="e">
        <f>(Table2[[#This Row],[op-duration-observed]]-Table2[[#This Row],[op-duration-baseline]])/Table2[[#This Row],[op-duration-baseline]]</f>
        <v>#N/A</v>
      </c>
    </row>
    <row r="30" spans="1:12" x14ac:dyDescent="0.25">
      <c r="A30" s="1" t="str">
        <f>Table2[[#This Row],[test]]</f>
        <v>perfexp-stl-peq-fresh</v>
      </c>
      <c r="B30" s="5" t="s">
        <v>37</v>
      </c>
      <c r="C30" s="5" t="s">
        <v>26</v>
      </c>
      <c r="E30" s="5">
        <v>100</v>
      </c>
      <c r="F30" s="5">
        <v>100</v>
      </c>
      <c r="G30" s="5">
        <v>9.5</v>
      </c>
      <c r="H30" s="5">
        <v>391160000</v>
      </c>
      <c r="I30" s="21">
        <v>10.000181</v>
      </c>
      <c r="J30" s="18">
        <f t="shared" si="2"/>
        <v>25.565448921157582</v>
      </c>
      <c r="K30" s="12" t="e">
        <f>INDEX(Table1[op-duration], MATCH(Table2[[#This Row],[test-conformed]]&amp;"@"&amp;Table2[[#This Row],[corpus]], Table1[test@corpus], 0))</f>
        <v>#N/A</v>
      </c>
      <c r="L30" s="10" t="e">
        <f>(Table2[[#This Row],[op-duration-observed]]-Table2[[#This Row],[op-duration-baseline]])/Table2[[#This Row],[op-duration-baseline]]</f>
        <v>#N/A</v>
      </c>
    </row>
    <row r="31" spans="1:12" x14ac:dyDescent="0.25">
      <c r="A31" s="1" t="str">
        <f>Table2[[#This Row],[test]]</f>
        <v>perfexp-stl-peq-fresh</v>
      </c>
      <c r="B31" s="5" t="s">
        <v>37</v>
      </c>
      <c r="C31" s="5" t="s">
        <v>41</v>
      </c>
      <c r="E31" s="5">
        <v>100</v>
      </c>
      <c r="F31" s="5">
        <v>100</v>
      </c>
      <c r="G31" s="5">
        <v>106.37</v>
      </c>
      <c r="H31" s="5">
        <v>208180000</v>
      </c>
      <c r="I31" s="21">
        <v>10.000351999999999</v>
      </c>
      <c r="J31" s="18">
        <f t="shared" si="2"/>
        <v>48.037044865020654</v>
      </c>
      <c r="K31" s="12" t="e">
        <f>INDEX(Table1[op-duration], MATCH(Table2[[#This Row],[test-conformed]]&amp;"@"&amp;Table2[[#This Row],[corpus]], Table1[test@corpus], 0))</f>
        <v>#N/A</v>
      </c>
      <c r="L31" s="10" t="e">
        <f>(Table2[[#This Row],[op-duration-observed]]-Table2[[#This Row],[op-duration-baseline]])/Table2[[#This Row],[op-duration-baseline]]</f>
        <v>#N/A</v>
      </c>
    </row>
    <row r="32" spans="1:12" x14ac:dyDescent="0.25">
      <c r="A32" s="1" t="str">
        <f>Table2[[#This Row],[test]]</f>
        <v>perfexp-stl-peq-fresh</v>
      </c>
      <c r="B32" s="5" t="s">
        <v>37</v>
      </c>
      <c r="C32" s="5" t="s">
        <v>27</v>
      </c>
      <c r="E32" s="5">
        <v>100</v>
      </c>
      <c r="F32" s="5">
        <v>100</v>
      </c>
      <c r="G32" s="5">
        <v>2.0299999999999998</v>
      </c>
      <c r="H32" s="5">
        <v>518730000</v>
      </c>
      <c r="I32" s="21">
        <v>10.000025000000001</v>
      </c>
      <c r="J32" s="18">
        <f t="shared" si="2"/>
        <v>19.277899870838393</v>
      </c>
      <c r="K32" s="12" t="e">
        <f>INDEX(Table1[op-duration], MATCH(Table2[[#This Row],[test-conformed]]&amp;"@"&amp;Table2[[#This Row],[corpus]], Table1[test@corpus], 0))</f>
        <v>#N/A</v>
      </c>
      <c r="L32" s="10" t="e">
        <f>(Table2[[#This Row],[op-duration-observed]]-Table2[[#This Row],[op-duration-baseline]])/Table2[[#This Row],[op-duration-baseline]]</f>
        <v>#N/A</v>
      </c>
    </row>
    <row r="33" spans="1:12" x14ac:dyDescent="0.25">
      <c r="A33" s="1" t="str">
        <f>Table2[[#This Row],[test]]</f>
        <v>perfexp-stl-peq-fresh</v>
      </c>
      <c r="B33" s="5" t="s">
        <v>37</v>
      </c>
      <c r="C33" s="5" t="s">
        <v>28</v>
      </c>
      <c r="E33" s="5">
        <v>100</v>
      </c>
      <c r="F33" s="5">
        <v>100</v>
      </c>
      <c r="G33" s="5">
        <v>22.96</v>
      </c>
      <c r="H33" s="5">
        <v>356770000</v>
      </c>
      <c r="I33" s="21">
        <v>10.000195</v>
      </c>
      <c r="J33" s="18">
        <f t="shared" si="2"/>
        <v>28.029809120722032</v>
      </c>
      <c r="K33" s="12" t="e">
        <f>INDEX(Table1[op-duration], MATCH(Table2[[#This Row],[test-conformed]]&amp;"@"&amp;Table2[[#This Row],[corpus]], Table1[test@corpus], 0))</f>
        <v>#N/A</v>
      </c>
      <c r="L33" s="10" t="e">
        <f>(Table2[[#This Row],[op-duration-observed]]-Table2[[#This Row],[op-duration-baseline]])/Table2[[#This Row],[op-duration-baseline]]</f>
        <v>#N/A</v>
      </c>
    </row>
    <row r="34" spans="1:12" x14ac:dyDescent="0.25">
      <c r="A34" s="1" t="str">
        <f>Table2[[#This Row],[test]]</f>
        <v>perfexp-stl-peq-fresh</v>
      </c>
      <c r="B34" s="5" t="s">
        <v>37</v>
      </c>
      <c r="C34" s="5" t="s">
        <v>43</v>
      </c>
      <c r="E34" s="5">
        <v>100</v>
      </c>
      <c r="F34" s="5">
        <v>100</v>
      </c>
      <c r="G34" s="5">
        <v>177.28</v>
      </c>
      <c r="H34" s="5">
        <v>170880000</v>
      </c>
      <c r="I34" s="21">
        <v>10.000069</v>
      </c>
      <c r="J34" s="18">
        <f t="shared" si="2"/>
        <v>58.521003043071161</v>
      </c>
      <c r="K34" s="12" t="e">
        <f>INDEX(Table1[op-duration], MATCH(Table2[[#This Row],[test-conformed]]&amp;"@"&amp;Table2[[#This Row],[corpus]], Table1[test@corpus], 0))</f>
        <v>#N/A</v>
      </c>
      <c r="L34" s="10" t="e">
        <f>(Table2[[#This Row],[op-duration-observed]]-Table2[[#This Row],[op-duration-baseline]])/Table2[[#This Row],[op-duration-baseline]]</f>
        <v>#N/A</v>
      </c>
    </row>
    <row r="35" spans="1:12" x14ac:dyDescent="0.25">
      <c r="A35" s="1" t="str">
        <f>Table2[[#This Row],[test]]</f>
        <v>perfexp-stl-peq-fresh</v>
      </c>
      <c r="B35" s="5" t="s">
        <v>37</v>
      </c>
      <c r="C35" s="5" t="s">
        <v>29</v>
      </c>
      <c r="E35" s="5">
        <v>100</v>
      </c>
      <c r="F35" s="5">
        <v>100</v>
      </c>
      <c r="G35" s="5">
        <v>5.27</v>
      </c>
      <c r="H35" s="5">
        <v>402440000</v>
      </c>
      <c r="I35" s="21">
        <v>10.000140999999999</v>
      </c>
      <c r="J35" s="18">
        <f t="shared" si="2"/>
        <v>24.848774972666732</v>
      </c>
      <c r="K35" s="12" t="e">
        <f>INDEX(Table1[op-duration], MATCH(Table2[[#This Row],[test-conformed]]&amp;"@"&amp;Table2[[#This Row],[corpus]], Table1[test@corpus], 0))</f>
        <v>#N/A</v>
      </c>
      <c r="L35" s="10" t="e">
        <f>(Table2[[#This Row],[op-duration-observed]]-Table2[[#This Row],[op-duration-baseline]])/Table2[[#This Row],[op-duration-baseline]]</f>
        <v>#N/A</v>
      </c>
    </row>
    <row r="36" spans="1:12" x14ac:dyDescent="0.25">
      <c r="A36" s="1" t="str">
        <f>Table2[[#This Row],[test]]</f>
        <v>perfexp-stl-peq-fresh</v>
      </c>
      <c r="B36" s="5" t="s">
        <v>37</v>
      </c>
      <c r="C36" s="5" t="s">
        <v>42</v>
      </c>
      <c r="E36" s="5">
        <v>100</v>
      </c>
      <c r="F36" s="5">
        <v>100</v>
      </c>
      <c r="G36" s="5">
        <v>43.32</v>
      </c>
      <c r="H36" s="5">
        <v>291140000</v>
      </c>
      <c r="I36" s="21">
        <v>10.000093</v>
      </c>
      <c r="J36" s="18">
        <f t="shared" si="2"/>
        <v>34.348055918115001</v>
      </c>
      <c r="K36" s="12" t="e">
        <f>INDEX(Table1[op-duration], MATCH(Table2[[#This Row],[test-conformed]]&amp;"@"&amp;Table2[[#This Row],[corpus]], Table1[test@corpus], 0))</f>
        <v>#N/A</v>
      </c>
      <c r="L36" s="10" t="e">
        <f>(Table2[[#This Row],[op-duration-observed]]-Table2[[#This Row],[op-duration-baseline]])/Table2[[#This Row],[op-duration-baseline]]</f>
        <v>#N/A</v>
      </c>
    </row>
    <row r="37" spans="1:12" x14ac:dyDescent="0.25">
      <c r="A37" s="13" t="str">
        <f>Table2[[#This Row],[test]]</f>
        <v>perfexp-stl-peq-fresh</v>
      </c>
      <c r="B37" s="14" t="s">
        <v>37</v>
      </c>
      <c r="C37" s="14" t="s">
        <v>44</v>
      </c>
      <c r="D37" s="14"/>
      <c r="E37" s="14">
        <v>100</v>
      </c>
      <c r="F37" s="14">
        <v>100</v>
      </c>
      <c r="G37" s="14">
        <v>557.26</v>
      </c>
      <c r="H37" s="14">
        <v>91100000</v>
      </c>
      <c r="I37" s="22">
        <v>10.000294999999999</v>
      </c>
      <c r="J37" s="19">
        <f t="shared" si="2"/>
        <v>109.77272228320527</v>
      </c>
      <c r="K37" s="15" t="e">
        <f>INDEX(Table1[op-duration], MATCH(Table2[[#This Row],[test-conformed]]&amp;"@"&amp;Table2[[#This Row],[corpus]], Table1[test@corpus], 0))</f>
        <v>#N/A</v>
      </c>
      <c r="L37" s="16" t="e">
        <f>(Table2[[#This Row],[op-duration-observed]]-Table2[[#This Row],[op-duration-baseline]])/Table2[[#This Row],[op-duration-baseline]]</f>
        <v>#N/A</v>
      </c>
    </row>
    <row r="38" spans="1:12" x14ac:dyDescent="0.25">
      <c r="A38" s="1" t="str">
        <f>Table2[[#This Row],[test]]</f>
        <v>perfexp-cfa-ll-peq-noshare-fresh</v>
      </c>
      <c r="B38" s="5" t="s">
        <v>36</v>
      </c>
      <c r="C38" s="5" t="s">
        <v>25</v>
      </c>
      <c r="E38" s="5">
        <v>100</v>
      </c>
      <c r="F38" s="5">
        <v>100</v>
      </c>
      <c r="G38" s="5">
        <v>1</v>
      </c>
      <c r="H38" s="5">
        <v>484110000</v>
      </c>
      <c r="I38" s="21">
        <v>10.000116999999999</v>
      </c>
      <c r="J38" s="18">
        <f t="shared" ref="J38:J46" si="3">CONVERT(I38/H38, "s", "ns")</f>
        <v>20.656704054863564</v>
      </c>
      <c r="K38" s="12" t="e">
        <f>INDEX(Table1[op-duration], MATCH(Table2[[#This Row],[test-conformed]]&amp;"@"&amp;Table2[[#This Row],[corpus]], Table1[test@corpus], 0))</f>
        <v>#N/A</v>
      </c>
      <c r="L38" s="10" t="e">
        <f>(Table2[[#This Row],[op-duration-observed]]-Table2[[#This Row],[op-duration-baseline]])/Table2[[#This Row],[op-duration-baseline]]</f>
        <v>#N/A</v>
      </c>
    </row>
    <row r="39" spans="1:12" x14ac:dyDescent="0.25">
      <c r="A39" s="1" t="str">
        <f>Table2[[#This Row],[test]]</f>
        <v>perfexp-cfa-ll-peq-noshare-fresh</v>
      </c>
      <c r="B39" s="5" t="s">
        <v>36</v>
      </c>
      <c r="C39" s="5" t="s">
        <v>26</v>
      </c>
      <c r="E39" s="5">
        <v>100</v>
      </c>
      <c r="F39" s="5">
        <v>100</v>
      </c>
      <c r="G39" s="5">
        <v>9.5</v>
      </c>
      <c r="H39" s="5">
        <v>347450000</v>
      </c>
      <c r="I39" s="21">
        <v>10.000194</v>
      </c>
      <c r="J39" s="18">
        <f t="shared" si="3"/>
        <v>28.781677939271841</v>
      </c>
      <c r="K39" s="12" t="e">
        <f>INDEX(Table1[op-duration], MATCH(Table2[[#This Row],[test-conformed]]&amp;"@"&amp;Table2[[#This Row],[corpus]], Table1[test@corpus], 0))</f>
        <v>#N/A</v>
      </c>
      <c r="L39" s="10" t="e">
        <f>(Table2[[#This Row],[op-duration-observed]]-Table2[[#This Row],[op-duration-baseline]])/Table2[[#This Row],[op-duration-baseline]]</f>
        <v>#N/A</v>
      </c>
    </row>
    <row r="40" spans="1:12" x14ac:dyDescent="0.25">
      <c r="A40" s="1" t="str">
        <f>Table2[[#This Row],[test]]</f>
        <v>perfexp-cfa-ll-peq-noshare-fresh</v>
      </c>
      <c r="B40" s="5" t="s">
        <v>36</v>
      </c>
      <c r="C40" s="5" t="s">
        <v>41</v>
      </c>
      <c r="E40" s="5">
        <v>100</v>
      </c>
      <c r="F40" s="5">
        <v>100</v>
      </c>
      <c r="G40" s="5">
        <v>106.37</v>
      </c>
      <c r="H40" s="5">
        <v>193310000</v>
      </c>
      <c r="I40" s="21">
        <v>10.000470999999999</v>
      </c>
      <c r="J40" s="18">
        <f t="shared" si="3"/>
        <v>51.73281775386684</v>
      </c>
      <c r="K40" s="12" t="e">
        <f>INDEX(Table1[op-duration], MATCH(Table2[[#This Row],[test-conformed]]&amp;"@"&amp;Table2[[#This Row],[corpus]], Table1[test@corpus], 0))</f>
        <v>#N/A</v>
      </c>
      <c r="L40" s="10" t="e">
        <f>(Table2[[#This Row],[op-duration-observed]]-Table2[[#This Row],[op-duration-baseline]])/Table2[[#This Row],[op-duration-baseline]]</f>
        <v>#N/A</v>
      </c>
    </row>
    <row r="41" spans="1:12" x14ac:dyDescent="0.25">
      <c r="A41" s="1" t="str">
        <f>Table2[[#This Row],[test]]</f>
        <v>perfexp-cfa-ll-peq-noshare-fresh</v>
      </c>
      <c r="B41" s="5" t="s">
        <v>36</v>
      </c>
      <c r="C41" s="5" t="s">
        <v>27</v>
      </c>
      <c r="E41" s="5">
        <v>100</v>
      </c>
      <c r="F41" s="5">
        <v>100</v>
      </c>
      <c r="G41" s="5">
        <v>2.0299999999999998</v>
      </c>
      <c r="H41" s="5">
        <v>410940000</v>
      </c>
      <c r="I41" s="21">
        <v>10.000076999999999</v>
      </c>
      <c r="J41" s="18">
        <f t="shared" si="3"/>
        <v>24.334640093444296</v>
      </c>
      <c r="K41" s="12" t="e">
        <f>INDEX(Table1[op-duration], MATCH(Table2[[#This Row],[test-conformed]]&amp;"@"&amp;Table2[[#This Row],[corpus]], Table1[test@corpus], 0))</f>
        <v>#N/A</v>
      </c>
      <c r="L41" s="10" t="e">
        <f>(Table2[[#This Row],[op-duration-observed]]-Table2[[#This Row],[op-duration-baseline]])/Table2[[#This Row],[op-duration-baseline]]</f>
        <v>#N/A</v>
      </c>
    </row>
    <row r="42" spans="1:12" x14ac:dyDescent="0.25">
      <c r="A42" s="1" t="str">
        <f>Table2[[#This Row],[test]]</f>
        <v>perfexp-cfa-ll-peq-noshare-fresh</v>
      </c>
      <c r="B42" s="5" t="s">
        <v>36</v>
      </c>
      <c r="C42" s="5" t="s">
        <v>28</v>
      </c>
      <c r="E42" s="5">
        <v>100</v>
      </c>
      <c r="F42" s="5">
        <v>100</v>
      </c>
      <c r="G42" s="5">
        <v>22.96</v>
      </c>
      <c r="H42" s="5">
        <v>319180000</v>
      </c>
      <c r="I42" s="21">
        <v>10.000311</v>
      </c>
      <c r="J42" s="18">
        <f t="shared" si="3"/>
        <v>31.331258224199509</v>
      </c>
      <c r="K42" s="12" t="e">
        <f>INDEX(Table1[op-duration], MATCH(Table2[[#This Row],[test-conformed]]&amp;"@"&amp;Table2[[#This Row],[corpus]], Table1[test@corpus], 0))</f>
        <v>#N/A</v>
      </c>
      <c r="L42" s="10" t="e">
        <f>(Table2[[#This Row],[op-duration-observed]]-Table2[[#This Row],[op-duration-baseline]])/Table2[[#This Row],[op-duration-baseline]]</f>
        <v>#N/A</v>
      </c>
    </row>
    <row r="43" spans="1:12" x14ac:dyDescent="0.25">
      <c r="A43" s="1" t="str">
        <f>Table2[[#This Row],[test]]</f>
        <v>perfexp-cfa-ll-peq-noshare-fresh</v>
      </c>
      <c r="B43" s="5" t="s">
        <v>36</v>
      </c>
      <c r="C43" s="5" t="s">
        <v>43</v>
      </c>
      <c r="E43" s="5">
        <v>100</v>
      </c>
      <c r="F43" s="5">
        <v>100</v>
      </c>
      <c r="G43" s="5">
        <v>177.28</v>
      </c>
      <c r="H43" s="5">
        <v>158620000</v>
      </c>
      <c r="I43" s="21">
        <v>10.000292</v>
      </c>
      <c r="J43" s="18">
        <f t="shared" si="3"/>
        <v>63.045593241709746</v>
      </c>
      <c r="K43" s="12" t="e">
        <f>INDEX(Table1[op-duration], MATCH(Table2[[#This Row],[test-conformed]]&amp;"@"&amp;Table2[[#This Row],[corpus]], Table1[test@corpus], 0))</f>
        <v>#N/A</v>
      </c>
      <c r="L43" s="10" t="e">
        <f>(Table2[[#This Row],[op-duration-observed]]-Table2[[#This Row],[op-duration-baseline]])/Table2[[#This Row],[op-duration-baseline]]</f>
        <v>#N/A</v>
      </c>
    </row>
    <row r="44" spans="1:12" x14ac:dyDescent="0.25">
      <c r="A44" s="1" t="str">
        <f>Table2[[#This Row],[test]]</f>
        <v>perfexp-cfa-ll-peq-noshare-fresh</v>
      </c>
      <c r="B44" s="5" t="s">
        <v>36</v>
      </c>
      <c r="C44" s="5" t="s">
        <v>29</v>
      </c>
      <c r="E44" s="5">
        <v>100</v>
      </c>
      <c r="F44" s="5">
        <v>100</v>
      </c>
      <c r="G44" s="5">
        <v>5.27</v>
      </c>
      <c r="H44" s="5">
        <v>366360000</v>
      </c>
      <c r="I44" s="21">
        <v>10.000175</v>
      </c>
      <c r="J44" s="18">
        <f t="shared" si="3"/>
        <v>27.296033955672019</v>
      </c>
      <c r="K44" s="12" t="e">
        <f>INDEX(Table1[op-duration], MATCH(Table2[[#This Row],[test-conformed]]&amp;"@"&amp;Table2[[#This Row],[corpus]], Table1[test@corpus], 0))</f>
        <v>#N/A</v>
      </c>
      <c r="L44" s="10" t="e">
        <f>(Table2[[#This Row],[op-duration-observed]]-Table2[[#This Row],[op-duration-baseline]])/Table2[[#This Row],[op-duration-baseline]]</f>
        <v>#N/A</v>
      </c>
    </row>
    <row r="45" spans="1:12" x14ac:dyDescent="0.25">
      <c r="A45" s="1" t="str">
        <f>Table2[[#This Row],[test]]</f>
        <v>perfexp-cfa-ll-peq-noshare-fresh</v>
      </c>
      <c r="B45" s="5" t="s">
        <v>36</v>
      </c>
      <c r="C45" s="5" t="s">
        <v>42</v>
      </c>
      <c r="E45" s="5">
        <v>100</v>
      </c>
      <c r="F45" s="5">
        <v>100</v>
      </c>
      <c r="G45" s="5">
        <v>43.32</v>
      </c>
      <c r="H45" s="5">
        <v>256720000</v>
      </c>
      <c r="I45" s="21">
        <v>10.000353</v>
      </c>
      <c r="J45" s="18">
        <f t="shared" si="3"/>
        <v>38.954319881583046</v>
      </c>
      <c r="K45" s="12" t="e">
        <f>INDEX(Table1[op-duration], MATCH(Table2[[#This Row],[test-conformed]]&amp;"@"&amp;Table2[[#This Row],[corpus]], Table1[test@corpus], 0))</f>
        <v>#N/A</v>
      </c>
      <c r="L45" s="10" t="e">
        <f>(Table2[[#This Row],[op-duration-observed]]-Table2[[#This Row],[op-duration-baseline]])/Table2[[#This Row],[op-duration-baseline]]</f>
        <v>#N/A</v>
      </c>
    </row>
    <row r="46" spans="1:12" x14ac:dyDescent="0.25">
      <c r="A46" s="13" t="str">
        <f>Table2[[#This Row],[test]]</f>
        <v>perfexp-cfa-ll-peq-noshare-fresh</v>
      </c>
      <c r="B46" s="14" t="s">
        <v>36</v>
      </c>
      <c r="C46" s="14" t="s">
        <v>44</v>
      </c>
      <c r="D46" s="14"/>
      <c r="E46" s="14">
        <v>100</v>
      </c>
      <c r="F46" s="14">
        <v>100</v>
      </c>
      <c r="G46" s="14">
        <v>557.26</v>
      </c>
      <c r="H46" s="14">
        <v>87650000</v>
      </c>
      <c r="I46" s="22">
        <v>10.000121</v>
      </c>
      <c r="J46" s="19">
        <f t="shared" si="3"/>
        <v>114.09151169423845</v>
      </c>
      <c r="K46" s="15" t="e">
        <f>INDEX(Table1[op-duration], MATCH(Table2[[#This Row],[test-conformed]]&amp;"@"&amp;Table2[[#This Row],[corpus]], Table1[test@corpus], 0))</f>
        <v>#N/A</v>
      </c>
      <c r="L46" s="16" t="e">
        <f>(Table2[[#This Row],[op-duration-observed]]-Table2[[#This Row],[op-duration-baseline]])/Table2[[#This Row],[op-duration-baseline]]</f>
        <v>#N/A</v>
      </c>
    </row>
  </sheetData>
  <phoneticPr fontId="1" type="noConversion"/>
  <conditionalFormatting sqref="L2:L46">
    <cfRule type="colorScale" priority="7">
      <colorScale>
        <cfvo type="min"/>
        <cfvo type="percentile" val="50"/>
        <cfvo type="max"/>
        <color rgb="FF63BE7B"/>
        <color rgb="FFFCFCFF"/>
        <color rgb="FFF8696B"/>
      </colorScale>
    </cfRule>
  </conditionalFormatting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2CF20-D224-4DD4-B08A-DA3EFA5AEDB4}">
  <dimension ref="A1:G16"/>
  <sheetViews>
    <sheetView zoomScale="85" zoomScaleNormal="85" workbookViewId="0">
      <selection activeCell="A10" sqref="A10"/>
    </sheetView>
  </sheetViews>
  <sheetFormatPr defaultRowHeight="15" x14ac:dyDescent="0.25"/>
  <cols>
    <col min="1" max="1" width="22" bestFit="1" customWidth="1"/>
    <col min="2" max="2" width="16.28515625" bestFit="1" customWidth="1"/>
    <col min="3" max="5" width="4.7109375" bestFit="1" customWidth="1"/>
    <col min="6" max="6" width="5.7109375" bestFit="1" customWidth="1"/>
    <col min="7" max="7" width="19" bestFit="1" customWidth="1"/>
    <col min="8" max="8" width="22" bestFit="1" customWidth="1"/>
    <col min="9" max="9" width="12.42578125" bestFit="1" customWidth="1"/>
    <col min="10" max="10" width="22" bestFit="1" customWidth="1"/>
    <col min="11" max="11" width="12.42578125" bestFit="1" customWidth="1"/>
    <col min="12" max="12" width="22" bestFit="1" customWidth="1"/>
    <col min="13" max="13" width="12.42578125" bestFit="1" customWidth="1"/>
  </cols>
  <sheetData>
    <row r="1" spans="1:7" x14ac:dyDescent="0.25">
      <c r="A1" s="2" t="s">
        <v>4</v>
      </c>
      <c r="B1" t="s">
        <v>64</v>
      </c>
    </row>
    <row r="2" spans="1:7" x14ac:dyDescent="0.25">
      <c r="A2" s="2" t="s">
        <v>7</v>
      </c>
      <c r="B2" t="s">
        <v>47</v>
      </c>
    </row>
    <row r="3" spans="1:7" x14ac:dyDescent="0.25">
      <c r="A3" s="2" t="s">
        <v>39</v>
      </c>
      <c r="B3" t="s">
        <v>40</v>
      </c>
    </row>
    <row r="4" spans="1:7" x14ac:dyDescent="0.25">
      <c r="A4" s="2" t="s">
        <v>8</v>
      </c>
      <c r="B4" t="s">
        <v>49</v>
      </c>
    </row>
    <row r="5" spans="1:7" x14ac:dyDescent="0.25">
      <c r="A5" s="2" t="s">
        <v>6</v>
      </c>
      <c r="B5" t="s">
        <v>48</v>
      </c>
    </row>
    <row r="6" spans="1:7" x14ac:dyDescent="0.25">
      <c r="A6" s="2" t="s">
        <v>11</v>
      </c>
      <c r="B6" s="3">
        <v>1</v>
      </c>
    </row>
    <row r="8" spans="1:7" x14ac:dyDescent="0.25">
      <c r="A8" s="2" t="s">
        <v>24</v>
      </c>
      <c r="B8" s="2" t="s">
        <v>15</v>
      </c>
    </row>
    <row r="9" spans="1:7" x14ac:dyDescent="0.25">
      <c r="B9" t="s">
        <v>46</v>
      </c>
      <c r="G9" t="s">
        <v>69</v>
      </c>
    </row>
    <row r="10" spans="1:7" x14ac:dyDescent="0.25">
      <c r="A10" s="2" t="s">
        <v>16</v>
      </c>
      <c r="B10">
        <v>20</v>
      </c>
      <c r="C10">
        <v>50</v>
      </c>
      <c r="D10">
        <v>100</v>
      </c>
      <c r="E10">
        <v>200</v>
      </c>
      <c r="F10">
        <v>500</v>
      </c>
    </row>
    <row r="11" spans="1:7" x14ac:dyDescent="0.25">
      <c r="A11" s="3">
        <v>0.02</v>
      </c>
      <c r="B11" s="4">
        <v>37.489578256794751</v>
      </c>
      <c r="C11" s="4">
        <v>39.265285848908434</v>
      </c>
      <c r="D11" s="4">
        <v>49.460950638045304</v>
      </c>
      <c r="E11" s="4">
        <v>64.147113534316858</v>
      </c>
      <c r="F11" s="4">
        <v>114.70248881752494</v>
      </c>
      <c r="G11" s="4">
        <v>61.013083419118061</v>
      </c>
    </row>
    <row r="12" spans="1:7" x14ac:dyDescent="0.25">
      <c r="A12" s="3">
        <v>0.05</v>
      </c>
      <c r="B12" s="4">
        <v>37.573879391320681</v>
      </c>
      <c r="C12" s="4">
        <v>39.198957312531846</v>
      </c>
      <c r="D12" s="4">
        <v>51.857441402198717</v>
      </c>
      <c r="E12" s="4">
        <v>51.075163432073545</v>
      </c>
      <c r="F12" s="4">
        <v>116.46784674507978</v>
      </c>
      <c r="G12" s="4">
        <v>59.234657656640913</v>
      </c>
    </row>
    <row r="13" spans="1:7" x14ac:dyDescent="0.25">
      <c r="A13" s="3">
        <v>0.1</v>
      </c>
      <c r="B13" s="4">
        <v>38.268567273840496</v>
      </c>
      <c r="C13" s="4">
        <v>39.878450372851617</v>
      </c>
      <c r="D13" s="4">
        <v>50.958769873624135</v>
      </c>
      <c r="E13" s="4">
        <v>51.280349725655093</v>
      </c>
      <c r="F13" s="4">
        <v>88.043480940223617</v>
      </c>
      <c r="G13" s="4">
        <v>53.685923637238986</v>
      </c>
    </row>
    <row r="14" spans="1:7" x14ac:dyDescent="0.25">
      <c r="A14" s="3">
        <v>0.2</v>
      </c>
      <c r="B14" s="4">
        <v>38.340578154353409</v>
      </c>
      <c r="C14" s="4">
        <v>50.247226409406096</v>
      </c>
      <c r="D14" s="4">
        <v>55.507182504440493</v>
      </c>
      <c r="E14" s="4">
        <v>52.195777441411352</v>
      </c>
      <c r="F14" s="4">
        <v>89.252110664881741</v>
      </c>
      <c r="G14" s="4">
        <v>57.108575034898614</v>
      </c>
    </row>
    <row r="15" spans="1:7" x14ac:dyDescent="0.25">
      <c r="A15" s="3">
        <v>0.5</v>
      </c>
      <c r="B15" s="4">
        <v>40.954218199688761</v>
      </c>
      <c r="C15" s="4">
        <v>43.931972938540611</v>
      </c>
      <c r="D15" s="4">
        <v>55.765510511347799</v>
      </c>
      <c r="E15" s="4">
        <v>55.003030469695304</v>
      </c>
      <c r="F15" s="4">
        <v>88.285512492275089</v>
      </c>
      <c r="G15" s="4">
        <v>56.788048922309507</v>
      </c>
    </row>
    <row r="16" spans="1:7" x14ac:dyDescent="0.25">
      <c r="A16" s="3">
        <v>0.9</v>
      </c>
      <c r="B16" s="4">
        <v>49.04897979203453</v>
      </c>
      <c r="C16" s="4">
        <v>55.662267616609149</v>
      </c>
      <c r="D16" s="4">
        <v>71.001498047568333</v>
      </c>
      <c r="E16" s="4">
        <v>67.013067077665355</v>
      </c>
      <c r="F16" s="4">
        <v>87.996647602287723</v>
      </c>
      <c r="G16" s="4">
        <v>66.144492027233028</v>
      </c>
    </row>
  </sheetData>
  <pageMargins left="0.7" right="0.7" top="0.75" bottom="0.75" header="0.3" footer="0.3"/>
  <pageSetup orientation="portrait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E6A12-854E-47A1-9E98-B2ABA6E8B16A}">
  <dimension ref="A1:G15"/>
  <sheetViews>
    <sheetView workbookViewId="0">
      <selection activeCell="F7" sqref="F7"/>
    </sheetView>
  </sheetViews>
  <sheetFormatPr defaultRowHeight="15" x14ac:dyDescent="0.25"/>
  <cols>
    <col min="1" max="1" width="18.42578125" bestFit="1" customWidth="1"/>
    <col min="2" max="2" width="16.5703125" bestFit="1" customWidth="1"/>
    <col min="3" max="3" width="10.42578125" bestFit="1" customWidth="1"/>
    <col min="4" max="4" width="16.28515625" bestFit="1" customWidth="1"/>
    <col min="5" max="5" width="5.5703125" bestFit="1" customWidth="1"/>
    <col min="6" max="6" width="12" customWidth="1"/>
    <col min="7" max="7" width="12" bestFit="1" customWidth="1"/>
  </cols>
  <sheetData>
    <row r="1" spans="1:7" x14ac:dyDescent="0.25">
      <c r="A1" s="2" t="s">
        <v>6</v>
      </c>
      <c r="B1" t="s">
        <v>48</v>
      </c>
    </row>
    <row r="2" spans="1:7" x14ac:dyDescent="0.25">
      <c r="A2" s="2" t="s">
        <v>13</v>
      </c>
      <c r="B2" s="3">
        <v>20</v>
      </c>
    </row>
    <row r="4" spans="1:7" x14ac:dyDescent="0.25">
      <c r="A4" s="2" t="s">
        <v>51</v>
      </c>
      <c r="D4" s="2" t="s">
        <v>15</v>
      </c>
    </row>
    <row r="5" spans="1:7" x14ac:dyDescent="0.25">
      <c r="A5" s="2" t="s">
        <v>16</v>
      </c>
      <c r="B5" s="2" t="s">
        <v>8</v>
      </c>
      <c r="C5" s="2" t="s">
        <v>39</v>
      </c>
      <c r="D5" t="s">
        <v>47</v>
      </c>
      <c r="F5" s="23" t="s">
        <v>52</v>
      </c>
      <c r="G5" s="23" t="s">
        <v>53</v>
      </c>
    </row>
    <row r="6" spans="1:7" x14ac:dyDescent="0.25">
      <c r="A6" s="3" t="s">
        <v>64</v>
      </c>
      <c r="B6" s="3" t="s">
        <v>49</v>
      </c>
      <c r="C6" s="3" t="s">
        <v>50</v>
      </c>
      <c r="D6" s="4">
        <v>241.67580106803263</v>
      </c>
      <c r="F6" s="4">
        <f>D6-E6</f>
        <v>241.67580106803263</v>
      </c>
      <c r="G6" s="24" t="e">
        <f>F6/E6</f>
        <v>#DIV/0!</v>
      </c>
    </row>
    <row r="7" spans="1:7" x14ac:dyDescent="0.25">
      <c r="F7" s="4">
        <f t="shared" ref="F7:F15" si="0">D7-E7</f>
        <v>0</v>
      </c>
      <c r="G7" s="24" t="e">
        <f t="shared" ref="G7:G15" si="1">F7/E7</f>
        <v>#DIV/0!</v>
      </c>
    </row>
    <row r="8" spans="1:7" x14ac:dyDescent="0.25">
      <c r="F8" s="4">
        <f t="shared" si="0"/>
        <v>0</v>
      </c>
      <c r="G8" s="24" t="e">
        <f t="shared" si="1"/>
        <v>#DIV/0!</v>
      </c>
    </row>
    <row r="9" spans="1:7" x14ac:dyDescent="0.25">
      <c r="F9" s="4">
        <f t="shared" si="0"/>
        <v>0</v>
      </c>
      <c r="G9" s="24" t="e">
        <f t="shared" si="1"/>
        <v>#DIV/0!</v>
      </c>
    </row>
    <row r="10" spans="1:7" x14ac:dyDescent="0.25">
      <c r="F10" s="4">
        <f t="shared" si="0"/>
        <v>0</v>
      </c>
      <c r="G10" s="24" t="e">
        <f t="shared" si="1"/>
        <v>#DIV/0!</v>
      </c>
    </row>
    <row r="11" spans="1:7" x14ac:dyDescent="0.25">
      <c r="F11" s="4">
        <f t="shared" si="0"/>
        <v>0</v>
      </c>
      <c r="G11" s="24" t="e">
        <f t="shared" si="1"/>
        <v>#DIV/0!</v>
      </c>
    </row>
    <row r="12" spans="1:7" x14ac:dyDescent="0.25">
      <c r="F12" s="4">
        <f t="shared" si="0"/>
        <v>0</v>
      </c>
      <c r="G12" s="24" t="e">
        <f t="shared" si="1"/>
        <v>#DIV/0!</v>
      </c>
    </row>
    <row r="13" spans="1:7" x14ac:dyDescent="0.25">
      <c r="F13" s="4">
        <f t="shared" si="0"/>
        <v>0</v>
      </c>
      <c r="G13" s="24" t="e">
        <f t="shared" si="1"/>
        <v>#DIV/0!</v>
      </c>
    </row>
    <row r="14" spans="1:7" x14ac:dyDescent="0.25">
      <c r="F14" s="4">
        <f t="shared" si="0"/>
        <v>0</v>
      </c>
      <c r="G14" s="24" t="e">
        <f t="shared" si="1"/>
        <v>#DIV/0!</v>
      </c>
    </row>
    <row r="15" spans="1:7" x14ac:dyDescent="0.25">
      <c r="F15" s="4">
        <f t="shared" si="0"/>
        <v>0</v>
      </c>
      <c r="G15" s="24" t="e">
        <f t="shared" si="1"/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import</vt:lpstr>
      <vt:lpstr>import-pieced</vt:lpstr>
      <vt:lpstr>simplified</vt:lpstr>
      <vt:lpstr>import-mem</vt:lpstr>
      <vt:lpstr>stage</vt:lpstr>
      <vt:lpstr>compare</vt:lpstr>
      <vt:lpstr>pall</vt:lpstr>
      <vt:lpstr>hl-ll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Mike</cp:lastModifiedBy>
  <dcterms:created xsi:type="dcterms:W3CDTF">2021-11-16T17:00:48Z</dcterms:created>
  <dcterms:modified xsi:type="dcterms:W3CDTF">2022-03-21T18:17:55Z</dcterms:modified>
</cp:coreProperties>
</file>